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kalinina_ov\Desktop\Оксана\Конкурс\Ангарское отделение\Иркутская обл., г. Ангарск, кв.89, д.37\2022\Аукцион\"/>
    </mc:Choice>
  </mc:AlternateContent>
  <bookViews>
    <workbookView xWindow="525" yWindow="-165" windowWidth="10905" windowHeight="6315"/>
  </bookViews>
  <sheets>
    <sheet name="1" sheetId="4" r:id="rId1"/>
  </sheets>
  <definedNames>
    <definedName name="_xlnm.Print_Area" localSheetId="0">'1'!$A$1:$V$162</definedName>
  </definedNames>
  <calcPr calcId="162913"/>
</workbook>
</file>

<file path=xl/calcChain.xml><?xml version="1.0" encoding="utf-8"?>
<calcChain xmlns="http://schemas.openxmlformats.org/spreadsheetml/2006/main">
  <c r="N40" i="4" l="1"/>
  <c r="U40" i="4" s="1"/>
  <c r="U41" i="4" s="1"/>
  <c r="U38" i="4"/>
  <c r="U78" i="4" l="1"/>
  <c r="U77" i="4"/>
  <c r="N77" i="4"/>
  <c r="F103" i="4" l="1"/>
  <c r="D103" i="4"/>
  <c r="E103" i="4"/>
  <c r="U127" i="4"/>
  <c r="F128" i="4"/>
  <c r="E128" i="4"/>
  <c r="D128" i="4"/>
  <c r="D127" i="4"/>
  <c r="H127" i="4" s="1"/>
  <c r="D111" i="4"/>
  <c r="Q117" i="4"/>
  <c r="U125" i="4"/>
  <c r="U133" i="4"/>
  <c r="U132" i="4"/>
  <c r="Q120" i="4"/>
  <c r="H103" i="4" l="1"/>
  <c r="H128" i="4"/>
  <c r="U149" i="4" l="1"/>
  <c r="U147" i="4"/>
  <c r="G65" i="4" l="1"/>
  <c r="U76" i="4"/>
  <c r="U131" i="4"/>
  <c r="U130" i="4"/>
  <c r="U129" i="4"/>
  <c r="U124" i="4"/>
  <c r="D124" i="4" s="1"/>
  <c r="U123" i="4"/>
  <c r="D123" i="4" s="1"/>
  <c r="U122" i="4"/>
  <c r="Q118" i="4"/>
  <c r="Q119" i="4"/>
  <c r="Q121" i="4"/>
  <c r="Q116" i="4"/>
  <c r="D125" i="4" l="1"/>
  <c r="D122" i="4"/>
  <c r="H113" i="4" l="1"/>
  <c r="N113" i="4" s="1"/>
  <c r="U49" i="4" l="1"/>
  <c r="D147" i="4"/>
  <c r="U150" i="4"/>
  <c r="U145" i="4"/>
  <c r="H155" i="4" l="1"/>
  <c r="N155" i="4" s="1"/>
  <c r="D154" i="4"/>
  <c r="H154" i="4" s="1"/>
  <c r="N154" i="4" s="1"/>
  <c r="D153" i="4"/>
  <c r="H153" i="4" s="1"/>
  <c r="N153" i="4" s="1"/>
  <c r="U151" i="4"/>
  <c r="U146" i="4"/>
  <c r="U143" i="4"/>
  <c r="H142" i="4"/>
  <c r="N142" i="4" s="1"/>
  <c r="U142" i="4" s="1"/>
  <c r="U140" i="4"/>
  <c r="H147" i="4"/>
  <c r="N147" i="4" s="1"/>
  <c r="E142" i="4"/>
  <c r="D136" i="4"/>
  <c r="H136" i="4" s="1"/>
  <c r="N136" i="4" s="1"/>
  <c r="N139" i="4" s="1"/>
  <c r="U139" i="4" s="1"/>
  <c r="U141" i="4" s="1"/>
  <c r="D137" i="4"/>
  <c r="H137" i="4" s="1"/>
  <c r="N137" i="4" s="1"/>
  <c r="Q137" i="4" s="1"/>
  <c r="D139" i="4" l="1"/>
  <c r="Q136" i="4"/>
  <c r="D109" i="4" l="1"/>
  <c r="H109" i="4" s="1"/>
  <c r="N109" i="4" s="1"/>
  <c r="D108" i="4"/>
  <c r="H108" i="4" s="1"/>
  <c r="H111" i="4"/>
  <c r="N111" i="4" s="1"/>
  <c r="D110" i="4"/>
  <c r="H110" i="4" s="1"/>
  <c r="N110" i="4" s="1"/>
  <c r="M108" i="4"/>
  <c r="N107" i="4"/>
  <c r="U107" i="4" s="1"/>
  <c r="D105" i="4"/>
  <c r="H105" i="4" s="1"/>
  <c r="N105" i="4" s="1"/>
  <c r="D104" i="4"/>
  <c r="H104" i="4" s="1"/>
  <c r="N104" i="4" s="1"/>
  <c r="E80" i="4"/>
  <c r="E86" i="4"/>
  <c r="D86" i="4"/>
  <c r="U92" i="4"/>
  <c r="E88" i="4"/>
  <c r="D88" i="4"/>
  <c r="D91" i="4"/>
  <c r="D93" i="4"/>
  <c r="D95" i="4"/>
  <c r="D102" i="4"/>
  <c r="D98" i="4"/>
  <c r="H98" i="4" s="1"/>
  <c r="H54" i="4"/>
  <c r="N54" i="4" s="1"/>
  <c r="U110" i="4" l="1"/>
  <c r="N108" i="4"/>
  <c r="U108" i="4" s="1"/>
  <c r="M29" i="4"/>
  <c r="D29" i="4"/>
  <c r="H29" i="4" s="1"/>
  <c r="D30" i="4"/>
  <c r="H30" i="4" s="1"/>
  <c r="N30" i="4" s="1"/>
  <c r="U30" i="4" s="1"/>
  <c r="D31" i="4"/>
  <c r="H31" i="4" s="1"/>
  <c r="N31" i="4" s="1"/>
  <c r="U31" i="4" s="1"/>
  <c r="D27" i="4"/>
  <c r="H27" i="4" s="1"/>
  <c r="D26" i="4"/>
  <c r="H26" i="4" s="1"/>
  <c r="N26" i="4" s="1"/>
  <c r="Q26" i="4" s="1"/>
  <c r="D25" i="4"/>
  <c r="H25" i="4" s="1"/>
  <c r="N25" i="4" s="1"/>
  <c r="Q25" i="4" s="1"/>
  <c r="M27" i="4"/>
  <c r="D21" i="4"/>
  <c r="N29" i="4" l="1"/>
  <c r="U29" i="4" s="1"/>
  <c r="N27" i="4"/>
  <c r="Q27" i="4" s="1"/>
  <c r="M103" i="4"/>
  <c r="M102" i="4"/>
  <c r="N99" i="4"/>
  <c r="U99" i="4" s="1"/>
  <c r="U98" i="4"/>
  <c r="U97" i="4"/>
  <c r="H95" i="4"/>
  <c r="U93" i="4"/>
  <c r="E93" i="4"/>
  <c r="L91" i="4"/>
  <c r="E91" i="4"/>
  <c r="H91" i="4" s="1"/>
  <c r="H88" i="4"/>
  <c r="H86" i="4"/>
  <c r="M86" i="4" s="1"/>
  <c r="M85" i="4"/>
  <c r="Q85" i="4" s="1"/>
  <c r="H84" i="4"/>
  <c r="M84" i="4" s="1"/>
  <c r="Q84" i="4" s="1"/>
  <c r="D82" i="4"/>
  <c r="H82" i="4" s="1"/>
  <c r="M82" i="4" s="1"/>
  <c r="D48" i="4"/>
  <c r="H48" i="4" s="1"/>
  <c r="N48" i="4" s="1"/>
  <c r="M70" i="4"/>
  <c r="H70" i="4"/>
  <c r="D75" i="4"/>
  <c r="H75" i="4" s="1"/>
  <c r="N75" i="4" s="1"/>
  <c r="M73" i="4"/>
  <c r="D73" i="4"/>
  <c r="H73" i="4" s="1"/>
  <c r="M71" i="4"/>
  <c r="H71" i="4"/>
  <c r="U72" i="4"/>
  <c r="M68" i="4"/>
  <c r="H68" i="4"/>
  <c r="M67" i="4"/>
  <c r="H67" i="4"/>
  <c r="J65" i="4"/>
  <c r="I65" i="4"/>
  <c r="E65" i="4"/>
  <c r="D65" i="4"/>
  <c r="F65" i="4"/>
  <c r="D64" i="4"/>
  <c r="H64" i="4" s="1"/>
  <c r="I63" i="4"/>
  <c r="M63" i="4" s="1"/>
  <c r="E63" i="4"/>
  <c r="D63" i="4"/>
  <c r="D60" i="4"/>
  <c r="U61" i="4" s="1"/>
  <c r="U60" i="4" s="1"/>
  <c r="M64" i="4"/>
  <c r="H59" i="4"/>
  <c r="D57" i="4"/>
  <c r="H57" i="4" s="1"/>
  <c r="N57" i="4" s="1"/>
  <c r="D59" i="4" s="1"/>
  <c r="M35" i="4"/>
  <c r="H35" i="4"/>
  <c r="D55" i="4"/>
  <c r="H55" i="4" s="1"/>
  <c r="N55" i="4" s="1"/>
  <c r="D20" i="4"/>
  <c r="H56" i="4"/>
  <c r="N56" i="4" s="1"/>
  <c r="U56" i="4" s="1"/>
  <c r="D53" i="4"/>
  <c r="H65" i="4" l="1"/>
  <c r="N88" i="4"/>
  <c r="U89" i="4"/>
  <c r="H53" i="4"/>
  <c r="N53" i="4" s="1"/>
  <c r="U54" i="4"/>
  <c r="H80" i="4"/>
  <c r="M80" i="4" s="1"/>
  <c r="H102" i="4"/>
  <c r="N102" i="4" s="1"/>
  <c r="M91" i="4"/>
  <c r="U91" i="4" s="1"/>
  <c r="H93" i="4"/>
  <c r="N93" i="4" s="1"/>
  <c r="U94" i="4" s="1"/>
  <c r="H63" i="4"/>
  <c r="N63" i="4" s="1"/>
  <c r="U63" i="4" s="1"/>
  <c r="N95" i="4"/>
  <c r="N67" i="4"/>
  <c r="U67" i="4" s="1"/>
  <c r="N70" i="4"/>
  <c r="U75" i="4"/>
  <c r="D62" i="4"/>
  <c r="H62" i="4" s="1"/>
  <c r="N62" i="4" s="1"/>
  <c r="U62" i="4" s="1"/>
  <c r="N73" i="4"/>
  <c r="U73" i="4" s="1"/>
  <c r="N71" i="4"/>
  <c r="N64" i="4"/>
  <c r="U64" i="4" s="1"/>
  <c r="N68" i="4"/>
  <c r="M65" i="4"/>
  <c r="U57" i="4"/>
  <c r="H60" i="4"/>
  <c r="N60" i="4" s="1"/>
  <c r="N59" i="4"/>
  <c r="N35" i="4"/>
  <c r="U35" i="4" s="1"/>
  <c r="U36" i="4" s="1"/>
  <c r="U48" i="4"/>
  <c r="H44" i="4"/>
  <c r="D47" i="4"/>
  <c r="H47" i="4" s="1"/>
  <c r="M47" i="4"/>
  <c r="H33" i="4"/>
  <c r="N33" i="4" s="1"/>
  <c r="U33" i="4" s="1"/>
  <c r="U34" i="4" s="1"/>
  <c r="D45" i="4"/>
  <c r="H45" i="4" s="1"/>
  <c r="M45" i="4"/>
  <c r="M44" i="4"/>
  <c r="H21" i="4"/>
  <c r="K22" i="4" s="1"/>
  <c r="H16" i="4"/>
  <c r="M16" i="4"/>
  <c r="H17" i="4"/>
  <c r="M17" i="4"/>
  <c r="H18" i="4"/>
  <c r="M18" i="4"/>
  <c r="I22" i="4"/>
  <c r="D22" i="4"/>
  <c r="H22" i="4" s="1"/>
  <c r="H20" i="4"/>
  <c r="M20" i="4"/>
  <c r="M23" i="4"/>
  <c r="M24" i="4"/>
  <c r="H23" i="4"/>
  <c r="H24" i="4"/>
  <c r="M32" i="4"/>
  <c r="H32" i="4"/>
  <c r="H19" i="4"/>
  <c r="M15" i="4"/>
  <c r="M19" i="4"/>
  <c r="M21" i="4"/>
  <c r="H15" i="4"/>
  <c r="U102" i="4" l="1"/>
  <c r="N65" i="4"/>
  <c r="U65" i="4" s="1"/>
  <c r="Q35" i="4"/>
  <c r="N45" i="4"/>
  <c r="U45" i="4" s="1"/>
  <c r="N44" i="4"/>
  <c r="M22" i="4"/>
  <c r="N22" i="4" s="1"/>
  <c r="Q22" i="4" s="1"/>
  <c r="N17" i="4"/>
  <c r="Q17" i="4" s="1"/>
  <c r="N18" i="4"/>
  <c r="Q18" i="4" s="1"/>
  <c r="N16" i="4"/>
  <c r="Q16" i="4" s="1"/>
  <c r="N19" i="4"/>
  <c r="Q19" i="4" s="1"/>
  <c r="N24" i="4"/>
  <c r="N23" i="4"/>
  <c r="N20" i="4"/>
  <c r="N32" i="4"/>
  <c r="U32" i="4" s="1"/>
  <c r="N15" i="4"/>
  <c r="Q15" i="4" s="1"/>
  <c r="Q65" i="4" l="1"/>
  <c r="N47" i="4" l="1"/>
  <c r="Q47" i="4" s="1"/>
  <c r="D132" i="4"/>
</calcChain>
</file>

<file path=xl/comments1.xml><?xml version="1.0" encoding="utf-8"?>
<comments xmlns="http://schemas.openxmlformats.org/spreadsheetml/2006/main">
  <authors>
    <author>admins</author>
  </authors>
  <commentList>
    <comment ref="B123" authorId="0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киоск, пульты оценки</t>
        </r>
      </text>
    </comment>
    <comment ref="B124" authorId="0" shapeId="0">
      <text>
        <r>
          <rPr>
            <b/>
            <sz val="9"/>
            <color indexed="81"/>
            <rFont val="Tahoma"/>
            <family val="2"/>
            <charset val="204"/>
          </rPr>
          <t>admins:</t>
        </r>
        <r>
          <rPr>
            <sz val="9"/>
            <color indexed="81"/>
            <rFont val="Tahoma"/>
            <family val="2"/>
            <charset val="204"/>
          </rPr>
          <t xml:space="preserve">
телевизоры, киоск</t>
        </r>
      </text>
    </comment>
  </commentList>
</comments>
</file>

<file path=xl/sharedStrings.xml><?xml version="1.0" encoding="utf-8"?>
<sst xmlns="http://schemas.openxmlformats.org/spreadsheetml/2006/main" count="669" uniqueCount="258">
  <si>
    <t>Наименование работ</t>
  </si>
  <si>
    <t>Кол-во</t>
  </si>
  <si>
    <t>Наименование</t>
  </si>
  <si>
    <t>Демонтируемый материал</t>
  </si>
  <si>
    <t>Ед. изм.</t>
  </si>
  <si>
    <t>м2</t>
  </si>
  <si>
    <t>Ед. изм</t>
  </si>
  <si>
    <t>Потребность в основных материалах</t>
  </si>
  <si>
    <t>Использование</t>
  </si>
  <si>
    <t>1</t>
  </si>
  <si>
    <t>2</t>
  </si>
  <si>
    <t>подрядчик</t>
  </si>
  <si>
    <t>кг</t>
  </si>
  <si>
    <t>стр. мусор</t>
  </si>
  <si>
    <t>Поставщик</t>
  </si>
  <si>
    <t>УТВЕРЖДАЮ:</t>
  </si>
  <si>
    <t>3</t>
  </si>
  <si>
    <t>4</t>
  </si>
  <si>
    <t>6</t>
  </si>
  <si>
    <t>7</t>
  </si>
  <si>
    <t>м.п.</t>
  </si>
  <si>
    <t>8</t>
  </si>
  <si>
    <t>шт.</t>
  </si>
  <si>
    <t>м</t>
  </si>
  <si>
    <t>9</t>
  </si>
  <si>
    <t>Дефектная ведомость № 1 (ведомость объемов работ)</t>
  </si>
  <si>
    <t>5</t>
  </si>
  <si>
    <t>выключатель</t>
  </si>
  <si>
    <t>розетка</t>
  </si>
  <si>
    <t>Демонтажные работы</t>
  </si>
  <si>
    <t>кабель-канал</t>
  </si>
  <si>
    <t>Главный инженер ООО "Иркутскэнергосбыт"</t>
  </si>
  <si>
    <t>____________________О.Н. Герасименко</t>
  </si>
  <si>
    <t>повт.исп.</t>
  </si>
  <si>
    <t>Демонтаж розеток</t>
  </si>
  <si>
    <t xml:space="preserve">Демонтаж выключателей  </t>
  </si>
  <si>
    <t>подвесы подвесного потолка "Амстронг"</t>
  </si>
  <si>
    <t>Прочие работы</t>
  </si>
  <si>
    <t>Погрузка строительного мусора в автосамосвалы и вывозка на расстояние до 15 км</t>
  </si>
  <si>
    <t>тн</t>
  </si>
  <si>
    <t xml:space="preserve"> шт.</t>
  </si>
  <si>
    <t>Перенос мебели</t>
  </si>
  <si>
    <t>Очистка помещений от строительного мусора с затариванием в мешки</t>
  </si>
  <si>
    <t>"____" ___________2022 г.</t>
  </si>
  <si>
    <t>светильник светодиодный</t>
  </si>
  <si>
    <t>Демонтаж светильников светодиодных 600*600</t>
  </si>
  <si>
    <t>Демонтаж перегородок толщиной 75-125 мм на одинарном металлическом каркасе с облицовкой одним слоем гипсокартонных листов с обеих сторон с изоляцией (перегородка поста охраны)</t>
  </si>
  <si>
    <t>10</t>
  </si>
  <si>
    <t>12</t>
  </si>
  <si>
    <t>подвесной потолок "Армстронг" в комплекте</t>
  </si>
  <si>
    <t xml:space="preserve">м2 </t>
  </si>
  <si>
    <t xml:space="preserve">подвесной потолок "Армстронг"  </t>
  </si>
  <si>
    <t>Демонтаж подвесного потолка "Армстронг"
(фрагмент в помещ.15)</t>
  </si>
  <si>
    <t xml:space="preserve">стр. мусор </t>
  </si>
  <si>
    <t xml:space="preserve">Двери из профилей ПВХ </t>
  </si>
  <si>
    <t>шт</t>
  </si>
  <si>
    <t>Светильники светодиодные встраиваемые</t>
  </si>
  <si>
    <t>Строит. Мусор</t>
  </si>
  <si>
    <t>Конструкция перегородки из ГКЛ</t>
  </si>
  <si>
    <t xml:space="preserve">Демонтаж мебельных досок шириной 200 мм </t>
  </si>
  <si>
    <t>м пог</t>
  </si>
  <si>
    <t>Доска мебельная шириной 200 мм, цвет серый</t>
  </si>
  <si>
    <t>Облицовка стен гипсокартонными листами по металлич. каркасу без изоляции (в местах демонтажа перегородки, помещ. №15)</t>
  </si>
  <si>
    <t>Устройство подвесного потолка из плит "Армстронг"
(помещ. №15)</t>
  </si>
  <si>
    <t xml:space="preserve">Плитки керамогранитные </t>
  </si>
  <si>
    <t>Устройство плинтуса h=150 мм из керамогранитной плитки (помещ. № 15)</t>
  </si>
  <si>
    <t>Клей плиточный</t>
  </si>
  <si>
    <t>Светильник светодиодный</t>
  </si>
  <si>
    <t>Бой кирпича</t>
  </si>
  <si>
    <t>м3</t>
  </si>
  <si>
    <t>т</t>
  </si>
  <si>
    <t>Шпилька М16 (L=0,4м)</t>
  </si>
  <si>
    <t>Гайка М16</t>
  </si>
  <si>
    <t>Шайба 16</t>
  </si>
  <si>
    <t>Устройство металлической перемычки из стальных прокатных профилей (2 проема)</t>
  </si>
  <si>
    <t>Увеличение высоты проема в кирпичной стене, толщ. 400 мм  (2 проема)</t>
  </si>
  <si>
    <t>Швеллер 14 ГОСТ 8240-97 (Lобщ.= 6,40 м)</t>
  </si>
  <si>
    <t>Демонтаж окна в помещ. № 17  (1,9*1,2м)</t>
  </si>
  <si>
    <t>Монтаж светильников в подвесных потолках "Армстронг" с использованием дополнительных подвесов (помещ. №15)</t>
  </si>
  <si>
    <t xml:space="preserve">Устройство откосов из ГКЛ </t>
  </si>
  <si>
    <t>повт.исп</t>
  </si>
  <si>
    <t>Монтаж дверей из профилей ПВХ (2 шт)</t>
  </si>
  <si>
    <t xml:space="preserve">Двери из профилей ПВХ (0,9х2,1м) </t>
  </si>
  <si>
    <t>Строительн.
Мусор</t>
  </si>
  <si>
    <t>Светильник светодиодный универсальный ГЕНСВЕТ, 36 Вт,  4000К, 4000лм, IP40, с драйвером.</t>
  </si>
  <si>
    <t xml:space="preserve">шт.       </t>
  </si>
  <si>
    <t>Смена светильников светодиодных встраиваемых</t>
  </si>
  <si>
    <t xml:space="preserve">Доска 50*100                                                     </t>
  </si>
  <si>
    <t xml:space="preserve">м3                                     </t>
  </si>
  <si>
    <t>Фанера 21мм</t>
  </si>
  <si>
    <t xml:space="preserve">м2    </t>
  </si>
  <si>
    <t>Устройство подиума из пиломатериалов (помещ. №14; №16)\</t>
  </si>
  <si>
    <t>Обработка фанеры и доски</t>
  </si>
  <si>
    <t>Состав "Пирилакс Классик"</t>
  </si>
  <si>
    <t>ГКЛ толщ. 12,5 мм</t>
  </si>
  <si>
    <t>Керамогранит, цвет серый</t>
  </si>
  <si>
    <t>Укладка линолеума на клею</t>
  </si>
  <si>
    <t>Линолеум "Таркет" класс 33                                
Цвет серый</t>
  </si>
  <si>
    <t>Монтаж плинтусов ПВХ</t>
  </si>
  <si>
    <t xml:space="preserve">м </t>
  </si>
  <si>
    <t>Плинтус ПВХ в комплекте с крепежными изделиями</t>
  </si>
  <si>
    <t>Монтаж уголка декоративного алюминиевого</t>
  </si>
  <si>
    <t>Обои флизелиновые</t>
  </si>
  <si>
    <t>Краски водоэмульсионные, латексные, моющиеся ВЭАК. Цвет серый.</t>
  </si>
  <si>
    <t>Смена замков в дверях из профилей ПВХ</t>
  </si>
  <si>
    <t>Замок врезной Kale kilit</t>
  </si>
  <si>
    <t xml:space="preserve">Замена декоративных жалюзийных решеток для радиаторов </t>
  </si>
  <si>
    <t>Решетка декоративная (900х600), цвет белый</t>
  </si>
  <si>
    <t>Решетка декоративная (1500х600), цвет белый</t>
  </si>
  <si>
    <t>Бетон кл.В20</t>
  </si>
  <si>
    <t>Сетка кладочная Вр1 100х100х4
ГОСТ 23279-2012</t>
  </si>
  <si>
    <t>Плитка керамогранитная., цвет серый</t>
  </si>
  <si>
    <t>Эмаль акриловая Цвет светло-серый</t>
  </si>
  <si>
    <t>Помещение фронт офиса и клиентской зоны</t>
  </si>
  <si>
    <t>Ремонтные работы</t>
  </si>
  <si>
    <t>Ремонт СКС</t>
  </si>
  <si>
    <t>Демонтаж существующей СКС</t>
  </si>
  <si>
    <t>Кабельный канал 75х20 
с двумя перегородками</t>
  </si>
  <si>
    <t xml:space="preserve">м. пог              </t>
  </si>
  <si>
    <t>Суппорт на 1 пост 45х45, накладной, 75х20мм, пр-во Efapel</t>
  </si>
  <si>
    <t xml:space="preserve">Демонтаж рамок для 2-х модулей RJ-45;     </t>
  </si>
  <si>
    <t xml:space="preserve">Демонтаж рамок для 1 модуля RJ-45;     </t>
  </si>
  <si>
    <t>Механизм электрической розетки, 2P+T, европейский стандарт, Mosaic, пр-во Legrand</t>
  </si>
  <si>
    <t>Монтаж пластиковых кабельных каналов</t>
  </si>
  <si>
    <t>Кабельный канал 75х20
с двумя перегородками пр-во SPL</t>
  </si>
  <si>
    <t xml:space="preserve">Соединительная деталь для кабель-канала 75х20, пр-во SPL </t>
  </si>
  <si>
    <t>Суппорт с рамкой на 1 пост 45х45, в кабельный канал 75х20мм, пр-во SPL</t>
  </si>
  <si>
    <t>Суппорт с рамкой на 1 пост 45х45, в кабельный канал 75х20мм</t>
  </si>
  <si>
    <t xml:space="preserve">Монтаж силовых розеток </t>
  </si>
  <si>
    <t>Механизм электрической розетки, 2P+T, европейский стандарт, Mosaic, пр-во Legrand на кабель канал 75х20</t>
  </si>
  <si>
    <t>Монтаж информационных розеток с разделкой кабеля</t>
  </si>
  <si>
    <t>Механизм одинарной информационной розетки (1xRJ-45 UTP), 22.5x45 (1/2 поста), категория 5е, белый, пр-во SPL (Саянский пластик)</t>
  </si>
  <si>
    <t>Механизм одинарной информационной розетки (1xRJ-45 UTP), 45x45 (1 пост), категория 5е, белый, пр-во SPL (Саянский пластик)</t>
  </si>
  <si>
    <t>Прокладка силовой сети в кабель каналах</t>
  </si>
  <si>
    <t>Кабель силовой ВВГ нг 3х 2,5</t>
  </si>
  <si>
    <t xml:space="preserve">Прокладка кабеля или провода питания сечением: 6 мм2, на провододержателях </t>
  </si>
  <si>
    <t>Кабель ВВГ-НГ 3х2,5</t>
  </si>
  <si>
    <t>100 м</t>
  </si>
  <si>
    <r>
      <t xml:space="preserve">Труба гофрированная ПВХ </t>
    </r>
    <r>
      <rPr>
        <sz val="9"/>
        <rFont val="Times New Roman"/>
        <family val="1"/>
        <charset val="204"/>
      </rPr>
      <t>Ø</t>
    </r>
    <r>
      <rPr>
        <sz val="9"/>
        <rFont val="Arial"/>
        <family val="2"/>
        <charset val="204"/>
      </rPr>
      <t xml:space="preserve"> 16мм</t>
    </r>
  </si>
  <si>
    <t>Коробка распаячная</t>
  </si>
  <si>
    <t>Прокладка кабеля UTP в кабель каналах</t>
  </si>
  <si>
    <t>Кабель внутренней прокладки UTP   4 пары, Essential Nexans, Категория 5е</t>
  </si>
  <si>
    <t>Прокладка кабеля UTP на провододержателях</t>
  </si>
  <si>
    <t>Кроссировка пар на  на патч-панели</t>
  </si>
  <si>
    <t>1 стрейф</t>
  </si>
  <si>
    <t>Тестирование линии</t>
  </si>
  <si>
    <t>Демонтаж откосов и ПВХ</t>
  </si>
  <si>
    <t>Демонтаж доски подоконной из ПВХ шириной 500 мм</t>
  </si>
  <si>
    <t>Откос ПВХ</t>
  </si>
  <si>
    <t>Доска подоконная ПВХ</t>
  </si>
  <si>
    <t>Монтаж окна в помещ. № 7  (1,55х1,175м)</t>
  </si>
  <si>
    <t>Монтаж доски подоконной из ПВХ шириной 500 мм</t>
  </si>
  <si>
    <t>Сетка 20-ОБ  (Рабица)
ГОСТ 5336-80</t>
  </si>
  <si>
    <t xml:space="preserve">Оштукатуривание стен цементно песчаным раствором по сетке . Восстановление штукатурного слоя после монтажа металлических перемычек </t>
  </si>
  <si>
    <t>Устройство пола из керамогранитных плит (помещ. №12; №13)</t>
  </si>
  <si>
    <t>гориз.уч</t>
  </si>
  <si>
    <t>вертик</t>
  </si>
  <si>
    <t>Демонтаж окна в помещ. № 7  (1,55х1,75м)</t>
  </si>
  <si>
    <t>Демонтаж дверей из профилей ПВХ в помещ. № 17, 16, 14 (0,9х2,1м) (3 шт)</t>
  </si>
  <si>
    <t>Ремонт системы видеонаблюдения</t>
  </si>
  <si>
    <t>Камеры видеонаблюдения: на кронштейне</t>
  </si>
  <si>
    <t>Видеокамера DS-I114(W) с кронштейном</t>
  </si>
  <si>
    <t>Разъемы штепсельные с разделкой и включением экранированного кабеля, сечение жилы до 1 мм2, количество подключаемых жил: 14 шт.</t>
  </si>
  <si>
    <t>Разъем RG-45</t>
  </si>
  <si>
    <t>Короба пластмассовые: шириной до 40 мм</t>
  </si>
  <si>
    <t>Короб DeGross 15*10</t>
  </si>
  <si>
    <t>Провод в коробах, сечением: до 6 мм2</t>
  </si>
  <si>
    <t>Кабель UTP 5кат</t>
  </si>
  <si>
    <t>Прокладка кабеля или провода питания на провододержателях сечением: 6 мм2</t>
  </si>
  <si>
    <t>Демонтаж бетонной отмостки</t>
  </si>
  <si>
    <t>ПГС</t>
  </si>
  <si>
    <t>Ремонт наружных конструкций запасного выхода</t>
  </si>
  <si>
    <t>Устройство бетонной отмостки толщ. 100 мм</t>
  </si>
  <si>
    <t>Лом бетона В15</t>
  </si>
  <si>
    <t>Бетон кл. В 20</t>
  </si>
  <si>
    <t>Сетка арматурная, стальная, сварная 100x100x5</t>
  </si>
  <si>
    <t>Демонтаж монолитного бортового камня</t>
  </si>
  <si>
    <t>Разработка грунта  (доработка) вручную</t>
  </si>
  <si>
    <t>Устройство монолитного бортового камня с закладными деталями для стоек навеса</t>
  </si>
  <si>
    <t xml:space="preserve">Устройство козырька над входом </t>
  </si>
  <si>
    <t>Доска обрезная, строганая толщ.40 мм</t>
  </si>
  <si>
    <t>Сетка арматурная, стальная, сварная 100x100x6</t>
  </si>
  <si>
    <t>Лист 6 140х140  ГОСТ 19903-2015 (4 шт.)</t>
  </si>
  <si>
    <t>Арматурная сталь 10 мм кл. А-II ГОСТ 5781-82 ( 16 стержней L=500 мм)</t>
  </si>
  <si>
    <t>Труба профильная 100х100х3
ГОСТ 32931-2015 ( Lобщ. =15,0м)</t>
  </si>
  <si>
    <t>Эмаль 3 в 1, Цвет серый</t>
  </si>
  <si>
    <t>Фартук из оцинкованной тонколистовой стали с полимерным покрытием. Цвет серый.</t>
  </si>
  <si>
    <t>Желоб водосточный в комплекте с крепежными изделиями. Цвет серый</t>
  </si>
  <si>
    <t>Окраска деревянных поверхностей акриловым составом</t>
  </si>
  <si>
    <t>Эмаль акриловая, атмосферостойкая. Цвет серый</t>
  </si>
  <si>
    <t>Планировка грунта вручную</t>
  </si>
  <si>
    <t xml:space="preserve">Грунт растительный </t>
  </si>
  <si>
    <t>Ремонт ОПС</t>
  </si>
  <si>
    <t>Ремонт АИС</t>
  </si>
  <si>
    <t>Окраска металлических конструкций эмалевым составом</t>
  </si>
  <si>
    <t>Лист 3 ГОСТ 19903-2015 (Sобщ.=0,42 м2)</t>
  </si>
  <si>
    <t>Демонтаж-монтаж извещателей ОПС</t>
  </si>
  <si>
    <t>Извещатель охранный настенный объемный</t>
  </si>
  <si>
    <t>Извещатель ПС автоматический: дымовой, фотоэлектрический</t>
  </si>
  <si>
    <t>Демонтаж табло оператора</t>
  </si>
  <si>
    <t>повторное
использов.</t>
  </si>
  <si>
    <t>Демонтаж. Киоск регистратор</t>
  </si>
  <si>
    <t xml:space="preserve">Демонтаж-монтаж плит подвесного потолка &lt;Армстронг&gt; </t>
  </si>
  <si>
    <t>Монтаж коробов пластмассовых: шириной до 120 мм</t>
  </si>
  <si>
    <t>Кабель-канал 75*20</t>
  </si>
  <si>
    <t>Розетка информационная в сборе на кабель-канал 75х20</t>
  </si>
  <si>
    <t>Монтаж розеток силовых  электрических наружной установки</t>
  </si>
  <si>
    <t>Розетка силовая электрическая наружной установки</t>
  </si>
  <si>
    <t>Прокладка кабеля или провода питания  в кабель канале сечением: 6 мм2</t>
  </si>
  <si>
    <t>11</t>
  </si>
  <si>
    <t>Монтаж табло оператора</t>
  </si>
  <si>
    <t>Табло оператора</t>
  </si>
  <si>
    <t>Крепления табло</t>
  </si>
  <si>
    <t>Монтаж пульта оценки качества</t>
  </si>
  <si>
    <t>Пульт оценки качества</t>
  </si>
  <si>
    <t>Монтаж ЖК Панель42 "</t>
  </si>
  <si>
    <t>ЖК Панель 42"</t>
  </si>
  <si>
    <t>Крепление для Ж/К панели</t>
  </si>
  <si>
    <t>Монтаж киоска регистратора</t>
  </si>
  <si>
    <t>Киоск регистратор</t>
  </si>
  <si>
    <t>Демонтаж пульта оценки качества</t>
  </si>
  <si>
    <t>Монтаж откосов ПВХ</t>
  </si>
  <si>
    <t>Устройство плинтуса из керамогранита H=120 мм  (помещ. №14; №16)\</t>
  </si>
  <si>
    <t>Уголок наружный 0.9x270 см цвет серебро</t>
  </si>
  <si>
    <t>Устройство плинтуса из керамогранита H=120 мм (помещ. №12; №13)</t>
  </si>
  <si>
    <t>Смена обоев с последующей окраской водоэмульсионными составами (помещ. №14; №15; часть помещений №12; №13)</t>
  </si>
  <si>
    <t>Анкер клиновой 16х200</t>
  </si>
  <si>
    <t>Профиль стальной листовой С 10
ГОСТ 24045-2016.  Цвет серый</t>
  </si>
  <si>
    <t>Демонтаж ЖК Панель 42"  с креплением</t>
  </si>
  <si>
    <t>ЖК Панель 42"  с креплением</t>
  </si>
  <si>
    <t>Крепление табло</t>
  </si>
  <si>
    <t xml:space="preserve">Плиты подвесного потолка &lt;Армстронг&gt; </t>
  </si>
  <si>
    <t>компл.</t>
  </si>
  <si>
    <t>Устройство ступеней в помещ. №12; №13 (выходы из помещений №14; №16)</t>
  </si>
  <si>
    <t xml:space="preserve">Установка мебельных досок шириной 200 мм </t>
  </si>
  <si>
    <t>Светильник настенный типа NOVOTECH OPAL 358294</t>
  </si>
  <si>
    <t>Монтаж светильников настенных (бра)</t>
  </si>
  <si>
    <t>Кабель силовой ВВГ нг 3х 1,5</t>
  </si>
  <si>
    <t>Прокладка кабеля с креплением к
строительным конструкциям</t>
  </si>
  <si>
    <r>
      <t xml:space="preserve">Трубка ПВХ </t>
    </r>
    <r>
      <rPr>
        <sz val="10"/>
        <rFont val="Times New Roman"/>
        <family val="1"/>
        <charset val="204"/>
      </rPr>
      <t>Ø</t>
    </r>
    <r>
      <rPr>
        <sz val="10"/>
        <rFont val="Arial Cyr"/>
        <charset val="204"/>
      </rPr>
      <t xml:space="preserve"> 16мм</t>
    </r>
  </si>
  <si>
    <t>Монтаж выключателей наружной установки</t>
  </si>
  <si>
    <t>Выключатель 1кл накладной типа (ВА16-131-б), Schneider Electric</t>
  </si>
  <si>
    <t>18</t>
  </si>
  <si>
    <t>27</t>
  </si>
  <si>
    <t>Демонтаж кабель-каналов 75*20 мм</t>
  </si>
  <si>
    <t>окно ПВХ глухое</t>
  </si>
  <si>
    <t>Окно ПВХ двухст.  (1,55х1,175м)</t>
  </si>
  <si>
    <t>Кабельный канал 20х12,5 SPL</t>
  </si>
  <si>
    <t xml:space="preserve">ГКЛ 12,5 мм на мет.каркасе </t>
  </si>
  <si>
    <t>Штукатурка цементная Bergauf</t>
  </si>
  <si>
    <t>Уголок декоративный алюминиевый внешний 20х20мм в комплекте с крепежными изделиями</t>
  </si>
  <si>
    <t>Плитка керамогранитная 300*300 мм
Цвет серый</t>
  </si>
  <si>
    <t>И.о. начальника ОКСиКР ООО "Иркутскэнергосбыт" _____________А.В. Тарков</t>
  </si>
  <si>
    <t>Окно ПВХ  двух. поворотно-откидное (1,55х1,175м)</t>
  </si>
  <si>
    <t>Масляная окраска трубопроводов ранее окрашенных</t>
  </si>
  <si>
    <t>Модуль информационный RJ45, UTP, категория 5e, Dual IDC, контакты IDC 90 град., белый, тип Keystone</t>
  </si>
  <si>
    <t>на ремонт помещений фронт-офиса и запасного выхода Ангарского отделения ООО "Иркутскэнергосбыт"</t>
  </si>
  <si>
    <t xml:space="preserve">по адресу: Иркутская обл., г. Ангарск, кв.89, д.37 (инв. № ИЭС000363054)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</si>
</sst>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name val="Arial"/>
      <family val="2"/>
      <charset val="204"/>
    </font>
    <font>
      <sz val="8"/>
      <color rgb="FFFF0000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name val="Arial Cyr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8" fillId="0" borderId="0"/>
  </cellStyleXfs>
  <cellXfs count="289">
    <xf numFmtId="0" fontId="0" fillId="0" borderId="0" xfId="0"/>
    <xf numFmtId="0" fontId="2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 applyAlignment="1">
      <alignment horizontal="center" vertical="top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 vertical="top"/>
    </xf>
    <xf numFmtId="0" fontId="3" fillId="0" borderId="0" xfId="0" applyFont="1" applyAlignment="1">
      <alignment horizontal="left" vertical="top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49" fontId="6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 wrapText="1"/>
    </xf>
    <xf numFmtId="0" fontId="6" fillId="0" borderId="0" xfId="0" applyFont="1" applyAlignment="1">
      <alignment vertical="top" wrapText="1"/>
    </xf>
    <xf numFmtId="0" fontId="6" fillId="0" borderId="0" xfId="0" applyFont="1" applyAlignment="1">
      <alignment horizontal="right" vertical="top" wrapText="1"/>
    </xf>
    <xf numFmtId="49" fontId="3" fillId="0" borderId="0" xfId="0" applyNumberFormat="1" applyFont="1" applyAlignment="1">
      <alignment horizontal="left" vertical="top"/>
    </xf>
    <xf numFmtId="0" fontId="3" fillId="0" borderId="0" xfId="0" applyFont="1" applyAlignment="1">
      <alignment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lef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0" fontId="2" fillId="3" borderId="1" xfId="0" applyNumberFormat="1" applyFont="1" applyFill="1" applyBorder="1" applyAlignment="1">
      <alignment horizontal="left" vertical="center" wrapText="1"/>
    </xf>
    <xf numFmtId="49" fontId="8" fillId="4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1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vertical="center" wrapText="1"/>
    </xf>
    <xf numFmtId="0" fontId="3" fillId="0" borderId="0" xfId="0" applyFont="1" applyAlignment="1">
      <alignment horizontal="left" vertical="top"/>
    </xf>
    <xf numFmtId="49" fontId="9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0" fillId="0" borderId="0" xfId="0" applyFill="1"/>
    <xf numFmtId="0" fontId="2" fillId="3" borderId="2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9" fillId="3" borderId="1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Fill="1" applyBorder="1"/>
    <xf numFmtId="0" fontId="2" fillId="3" borderId="1" xfId="0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vertical="center" wrapText="1"/>
    </xf>
    <xf numFmtId="2" fontId="2" fillId="3" borderId="3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49" fontId="8" fillId="5" borderId="1" xfId="0" applyNumberFormat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49" fontId="9" fillId="3" borderId="1" xfId="2" applyNumberFormat="1" applyFont="1" applyFill="1" applyBorder="1" applyAlignment="1">
      <alignment horizontal="center" vertical="center" wrapText="1"/>
    </xf>
    <xf numFmtId="2" fontId="9" fillId="3" borderId="1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2" fontId="9" fillId="3" borderId="1" xfId="2" applyNumberFormat="1" applyFont="1" applyFill="1" applyBorder="1" applyAlignment="1">
      <alignment vertical="center"/>
    </xf>
    <xf numFmtId="0" fontId="9" fillId="3" borderId="1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vertical="center" wrapText="1"/>
    </xf>
    <xf numFmtId="2" fontId="9" fillId="0" borderId="3" xfId="0" applyNumberFormat="1" applyFont="1" applyFill="1" applyBorder="1" applyAlignment="1">
      <alignment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wrapText="1"/>
    </xf>
    <xf numFmtId="49" fontId="9" fillId="0" borderId="1" xfId="2" applyNumberFormat="1" applyFont="1" applyFill="1" applyBorder="1" applyAlignment="1">
      <alignment horizontal="center" vertical="center"/>
    </xf>
    <xf numFmtId="2" fontId="2" fillId="3" borderId="1" xfId="2" applyNumberFormat="1" applyFont="1" applyFill="1" applyBorder="1" applyAlignment="1">
      <alignment horizontal="center" vertical="center"/>
    </xf>
    <xf numFmtId="2" fontId="2" fillId="0" borderId="1" xfId="2" applyNumberFormat="1" applyFont="1" applyFill="1" applyBorder="1" applyAlignment="1">
      <alignment horizontal="center" vertical="center"/>
    </xf>
    <xf numFmtId="49" fontId="17" fillId="3" borderId="1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0" fontId="2" fillId="0" borderId="1" xfId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/>
    </xf>
    <xf numFmtId="0" fontId="2" fillId="0" borderId="1" xfId="3" applyFont="1" applyFill="1" applyBorder="1" applyAlignment="1">
      <alignment horizontal="center" vertical="center" wrapText="1"/>
    </xf>
    <xf numFmtId="49" fontId="2" fillId="0" borderId="1" xfId="3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left" vertical="top" wrapText="1"/>
    </xf>
    <xf numFmtId="0" fontId="2" fillId="0" borderId="1" xfId="0" applyFont="1" applyFill="1" applyBorder="1"/>
    <xf numFmtId="49" fontId="2" fillId="3" borderId="3" xfId="0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4" fontId="2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left" vertical="center" wrapText="1"/>
    </xf>
    <xf numFmtId="4" fontId="2" fillId="3" borderId="4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/>
    </xf>
    <xf numFmtId="0" fontId="6" fillId="0" borderId="1" xfId="0" quotePrefix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49" fontId="2" fillId="0" borderId="1" xfId="2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2" fontId="10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vertical="center"/>
    </xf>
    <xf numFmtId="0" fontId="2" fillId="3" borderId="1" xfId="3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/>
    </xf>
    <xf numFmtId="2" fontId="2" fillId="3" borderId="1" xfId="3" applyNumberFormat="1" applyFont="1" applyFill="1" applyBorder="1" applyAlignment="1">
      <alignment horizontal="center" vertical="center"/>
    </xf>
    <xf numFmtId="0" fontId="0" fillId="3" borderId="0" xfId="0" applyFill="1"/>
    <xf numFmtId="0" fontId="2" fillId="3" borderId="1" xfId="3" applyFont="1" applyFill="1" applyBorder="1" applyAlignment="1">
      <alignment horizontal="left" vertical="center" wrapText="1"/>
    </xf>
    <xf numFmtId="49" fontId="2" fillId="3" borderId="1" xfId="3" applyNumberFormat="1" applyFont="1" applyFill="1" applyBorder="1" applyAlignment="1">
      <alignment horizontal="center" vertical="center" wrapText="1"/>
    </xf>
    <xf numFmtId="49" fontId="2" fillId="3" borderId="1" xfId="3" applyNumberFormat="1" applyFont="1" applyFill="1" applyBorder="1" applyAlignment="1">
      <alignment horizontal="center" vertical="center"/>
    </xf>
    <xf numFmtId="0" fontId="0" fillId="3" borderId="1" xfId="0" applyFill="1" applyBorder="1"/>
    <xf numFmtId="164" fontId="2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left" vertical="center" wrapText="1"/>
    </xf>
    <xf numFmtId="49" fontId="2" fillId="3" borderId="1" xfId="2" applyNumberFormat="1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center" vertical="center" wrapText="1"/>
    </xf>
    <xf numFmtId="0" fontId="2" fillId="3" borderId="1" xfId="2" applyFont="1" applyFill="1" applyBorder="1" applyAlignment="1">
      <alignment horizontal="left" vertical="center" wrapText="1"/>
    </xf>
    <xf numFmtId="2" fontId="13" fillId="3" borderId="1" xfId="2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2" fillId="3" borderId="1" xfId="0" quotePrefix="1" applyFont="1" applyFill="1" applyBorder="1" applyAlignment="1">
      <alignment horizontal="center" vertical="center"/>
    </xf>
    <xf numFmtId="4" fontId="2" fillId="3" borderId="4" xfId="1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2" fillId="3" borderId="2" xfId="0" quotePrefix="1" applyFont="1" applyFill="1" applyBorder="1" applyAlignment="1">
      <alignment horizontal="center" vertical="center"/>
    </xf>
    <xf numFmtId="2" fontId="2" fillId="3" borderId="2" xfId="0" applyNumberFormat="1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left" vertical="center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vertical="center" wrapText="1"/>
    </xf>
    <xf numFmtId="165" fontId="9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4" fontId="2" fillId="3" borderId="2" xfId="1" applyNumberFormat="1" applyFont="1" applyFill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center" vertical="center"/>
    </xf>
    <xf numFmtId="0" fontId="2" fillId="3" borderId="4" xfId="0" quotePrefix="1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2" fontId="2" fillId="3" borderId="2" xfId="0" applyNumberFormat="1" applyFont="1" applyFill="1" applyBorder="1" applyAlignment="1">
      <alignment horizontal="center" vertical="center"/>
    </xf>
    <xf numFmtId="2" fontId="2" fillId="3" borderId="4" xfId="0" applyNumberFormat="1" applyFont="1" applyFill="1" applyBorder="1" applyAlignment="1">
      <alignment horizontal="center" vertical="center"/>
    </xf>
    <xf numFmtId="164" fontId="2" fillId="3" borderId="1" xfId="0" applyNumberFormat="1" applyFont="1" applyFill="1" applyBorder="1" applyAlignment="1">
      <alignment horizontal="center" vertical="center"/>
    </xf>
    <xf numFmtId="49" fontId="2" fillId="3" borderId="2" xfId="0" applyNumberFormat="1" applyFont="1" applyFill="1" applyBorder="1" applyAlignment="1">
      <alignment horizontal="left" vertical="center" wrapText="1"/>
    </xf>
    <xf numFmtId="49" fontId="2" fillId="3" borderId="4" xfId="0" applyNumberFormat="1" applyFont="1" applyFill="1" applyBorder="1" applyAlignment="1">
      <alignment horizontal="left" vertical="center" wrapText="1"/>
    </xf>
    <xf numFmtId="49" fontId="2" fillId="3" borderId="3" xfId="0" applyNumberFormat="1" applyFont="1" applyFill="1" applyBorder="1" applyAlignment="1">
      <alignment horizontal="left" vertical="center" wrapText="1"/>
    </xf>
    <xf numFmtId="0" fontId="2" fillId="3" borderId="3" xfId="0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2" fillId="3" borderId="4" xfId="0" applyNumberFormat="1" applyFont="1" applyFill="1" applyBorder="1" applyAlignment="1">
      <alignment horizontal="center" vertical="center" wrapText="1"/>
    </xf>
    <xf numFmtId="49" fontId="2" fillId="3" borderId="3" xfId="0" applyNumberFormat="1" applyFont="1" applyFill="1" applyBorder="1" applyAlignment="1">
      <alignment horizontal="center" vertical="center" wrapText="1"/>
    </xf>
    <xf numFmtId="0" fontId="2" fillId="3" borderId="3" xfId="0" quotePrefix="1" applyFont="1" applyFill="1" applyBorder="1" applyAlignment="1">
      <alignment horizontal="center" vertical="center"/>
    </xf>
    <xf numFmtId="0" fontId="2" fillId="3" borderId="2" xfId="0" quotePrefix="1" applyFont="1" applyFill="1" applyBorder="1" applyAlignment="1">
      <alignment horizontal="left" vertical="center"/>
    </xf>
    <xf numFmtId="0" fontId="2" fillId="3" borderId="3" xfId="0" quotePrefix="1" applyFont="1" applyFill="1" applyBorder="1" applyAlignment="1">
      <alignment horizontal="left" vertical="center"/>
    </xf>
    <xf numFmtId="0" fontId="0" fillId="3" borderId="2" xfId="0" applyFill="1" applyBorder="1" applyAlignment="1">
      <alignment horizontal="center"/>
    </xf>
    <xf numFmtId="0" fontId="0" fillId="3" borderId="3" xfId="0" applyFill="1" applyBorder="1" applyAlignment="1">
      <alignment horizontal="center"/>
    </xf>
    <xf numFmtId="2" fontId="2" fillId="3" borderId="2" xfId="0" applyNumberFormat="1" applyFont="1" applyFill="1" applyBorder="1" applyAlignment="1">
      <alignment horizontal="center" vertical="center" wrapText="1"/>
    </xf>
    <xf numFmtId="2" fontId="2" fillId="3" borderId="4" xfId="0" applyNumberFormat="1" applyFont="1" applyFill="1" applyBorder="1" applyAlignment="1">
      <alignment horizontal="center" vertical="center" wrapText="1"/>
    </xf>
    <xf numFmtId="2" fontId="2" fillId="3" borderId="3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top" wrapText="1"/>
    </xf>
    <xf numFmtId="0" fontId="7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49" fontId="3" fillId="0" borderId="0" xfId="0" applyNumberFormat="1" applyFont="1" applyAlignment="1">
      <alignment horizontal="center"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left" vertical="center" wrapText="1"/>
    </xf>
    <xf numFmtId="49" fontId="2" fillId="0" borderId="3" xfId="0" applyNumberFormat="1" applyFont="1" applyFill="1" applyBorder="1" applyAlignment="1">
      <alignment horizontal="left" vertical="center" wrapText="1"/>
    </xf>
    <xf numFmtId="49" fontId="10" fillId="3" borderId="1" xfId="0" applyNumberFormat="1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3" borderId="3" xfId="0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2" fontId="9" fillId="3" borderId="2" xfId="0" applyNumberFormat="1" applyFont="1" applyFill="1" applyBorder="1" applyAlignment="1">
      <alignment horizontal="center" vertical="center" wrapText="1"/>
    </xf>
    <xf numFmtId="2" fontId="9" fillId="3" borderId="3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49" fontId="2" fillId="0" borderId="2" xfId="1" applyNumberFormat="1" applyFont="1" applyFill="1" applyBorder="1" applyAlignment="1">
      <alignment horizontal="center" vertical="center"/>
    </xf>
    <xf numFmtId="49" fontId="2" fillId="0" borderId="4" xfId="1" applyNumberFormat="1" applyFont="1" applyFill="1" applyBorder="1" applyAlignment="1">
      <alignment horizontal="center" vertical="center"/>
    </xf>
    <xf numFmtId="49" fontId="2" fillId="0" borderId="3" xfId="1" applyNumberFormat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left" vertical="center" wrapText="1"/>
    </xf>
    <xf numFmtId="0" fontId="2" fillId="0" borderId="4" xfId="1" applyFont="1" applyFill="1" applyBorder="1" applyAlignment="1">
      <alignment horizontal="left" vertical="center" wrapText="1"/>
    </xf>
    <xf numFmtId="0" fontId="2" fillId="0" borderId="3" xfId="1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49" fontId="2" fillId="3" borderId="2" xfId="2" applyNumberFormat="1" applyFont="1" applyFill="1" applyBorder="1" applyAlignment="1">
      <alignment horizontal="center" vertical="center"/>
    </xf>
    <xf numFmtId="49" fontId="2" fillId="3" borderId="4" xfId="2" applyNumberFormat="1" applyFont="1" applyFill="1" applyBorder="1" applyAlignment="1">
      <alignment horizontal="center" vertical="center"/>
    </xf>
    <xf numFmtId="49" fontId="2" fillId="3" borderId="3" xfId="2" applyNumberFormat="1" applyFont="1" applyFill="1" applyBorder="1" applyAlignment="1">
      <alignment horizontal="center" vertical="center"/>
    </xf>
    <xf numFmtId="49" fontId="2" fillId="3" borderId="2" xfId="2" applyNumberFormat="1" applyFont="1" applyFill="1" applyBorder="1" applyAlignment="1">
      <alignment horizontal="left" vertical="center"/>
    </xf>
    <xf numFmtId="49" fontId="2" fillId="3" borderId="4" xfId="2" applyNumberFormat="1" applyFont="1" applyFill="1" applyBorder="1" applyAlignment="1">
      <alignment horizontal="left" vertical="center"/>
    </xf>
    <xf numFmtId="49" fontId="2" fillId="3" borderId="3" xfId="2" applyNumberFormat="1" applyFont="1" applyFill="1" applyBorder="1" applyAlignment="1">
      <alignment horizontal="left" vertical="center"/>
    </xf>
    <xf numFmtId="49" fontId="9" fillId="3" borderId="2" xfId="2" applyNumberFormat="1" applyFont="1" applyFill="1" applyBorder="1" applyAlignment="1">
      <alignment horizontal="center" vertical="center"/>
    </xf>
    <xf numFmtId="49" fontId="9" fillId="3" borderId="4" xfId="2" applyNumberFormat="1" applyFont="1" applyFill="1" applyBorder="1" applyAlignment="1">
      <alignment horizontal="center" vertical="center"/>
    </xf>
    <xf numFmtId="49" fontId="9" fillId="3" borderId="3" xfId="2" applyNumberFormat="1" applyFont="1" applyFill="1" applyBorder="1" applyAlignment="1">
      <alignment horizontal="center" vertical="center"/>
    </xf>
    <xf numFmtId="2" fontId="9" fillId="3" borderId="2" xfId="2" applyNumberFormat="1" applyFont="1" applyFill="1" applyBorder="1" applyAlignment="1">
      <alignment horizontal="center" vertical="center"/>
    </xf>
    <xf numFmtId="2" fontId="9" fillId="3" borderId="3" xfId="2" applyNumberFormat="1" applyFont="1" applyFill="1" applyBorder="1" applyAlignment="1">
      <alignment horizontal="center" vertical="center"/>
    </xf>
    <xf numFmtId="49" fontId="2" fillId="0" borderId="2" xfId="2" applyNumberFormat="1" applyFont="1" applyFill="1" applyBorder="1" applyAlignment="1">
      <alignment horizontal="center" vertical="center"/>
    </xf>
    <xf numFmtId="49" fontId="2" fillId="0" borderId="3" xfId="2" applyNumberFormat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left" vertical="center" wrapText="1"/>
    </xf>
    <xf numFmtId="0" fontId="2" fillId="0" borderId="3" xfId="2" applyFont="1" applyFill="1" applyBorder="1" applyAlignment="1">
      <alignment horizontal="left" vertical="center" wrapText="1"/>
    </xf>
    <xf numFmtId="2" fontId="9" fillId="3" borderId="4" xfId="2" applyNumberFormat="1" applyFont="1" applyFill="1" applyBorder="1" applyAlignment="1">
      <alignment horizontal="center" vertical="center"/>
    </xf>
    <xf numFmtId="49" fontId="2" fillId="0" borderId="1" xfId="2" applyNumberFormat="1" applyFont="1" applyFill="1" applyBorder="1" applyAlignment="1">
      <alignment horizontal="center" vertical="center"/>
    </xf>
    <xf numFmtId="0" fontId="2" fillId="0" borderId="1" xfId="2" applyFont="1" applyFill="1" applyBorder="1" applyAlignment="1">
      <alignment horizontal="left" vertical="center" wrapText="1"/>
    </xf>
    <xf numFmtId="2" fontId="9" fillId="3" borderId="4" xfId="0" applyNumberFormat="1" applyFont="1" applyFill="1" applyBorder="1" applyAlignment="1">
      <alignment horizontal="center" vertical="center" wrapText="1"/>
    </xf>
    <xf numFmtId="2" fontId="12" fillId="0" borderId="2" xfId="0" applyNumberFormat="1" applyFont="1" applyFill="1" applyBorder="1" applyAlignment="1">
      <alignment horizontal="center" vertical="center" wrapText="1"/>
    </xf>
    <xf numFmtId="2" fontId="12" fillId="0" borderId="4" xfId="0" applyNumberFormat="1" applyFont="1" applyFill="1" applyBorder="1" applyAlignment="1">
      <alignment horizontal="center" vertical="center" wrapText="1"/>
    </xf>
    <xf numFmtId="2" fontId="12" fillId="3" borderId="2" xfId="0" applyNumberFormat="1" applyFont="1" applyFill="1" applyBorder="1" applyAlignment="1">
      <alignment horizontal="center" vertical="center" wrapText="1"/>
    </xf>
    <xf numFmtId="2" fontId="12" fillId="3" borderId="4" xfId="0" applyNumberFormat="1" applyFont="1" applyFill="1" applyBorder="1" applyAlignment="1">
      <alignment horizontal="center" vertical="center" wrapText="1"/>
    </xf>
    <xf numFmtId="49" fontId="9" fillId="3" borderId="2" xfId="2" applyNumberFormat="1" applyFont="1" applyFill="1" applyBorder="1" applyAlignment="1">
      <alignment horizontal="left" vertical="center" wrapText="1"/>
    </xf>
    <xf numFmtId="49" fontId="9" fillId="3" borderId="4" xfId="2" applyNumberFormat="1" applyFont="1" applyFill="1" applyBorder="1" applyAlignment="1">
      <alignment horizontal="left" vertical="center" wrapText="1"/>
    </xf>
    <xf numFmtId="49" fontId="2" fillId="3" borderId="2" xfId="2" applyNumberFormat="1" applyFont="1" applyFill="1" applyBorder="1" applyAlignment="1">
      <alignment horizontal="center" vertical="center" wrapText="1"/>
    </xf>
    <xf numFmtId="49" fontId="2" fillId="3" borderId="4" xfId="2" applyNumberFormat="1" applyFont="1" applyFill="1" applyBorder="1" applyAlignment="1">
      <alignment horizontal="center" vertical="center" wrapText="1"/>
    </xf>
    <xf numFmtId="2" fontId="16" fillId="3" borderId="2" xfId="2" applyNumberFormat="1" applyFont="1" applyFill="1" applyBorder="1" applyAlignment="1">
      <alignment horizontal="center" vertical="center"/>
    </xf>
    <xf numFmtId="2" fontId="16" fillId="3" borderId="3" xfId="2" applyNumberFormat="1" applyFont="1" applyFill="1" applyBorder="1" applyAlignment="1">
      <alignment horizontal="center" vertical="center"/>
    </xf>
    <xf numFmtId="2" fontId="15" fillId="3" borderId="2" xfId="0" applyNumberFormat="1" applyFont="1" applyFill="1" applyBorder="1" applyAlignment="1">
      <alignment horizontal="center" vertical="top"/>
    </xf>
    <xf numFmtId="2" fontId="15" fillId="3" borderId="4" xfId="0" applyNumberFormat="1" applyFont="1" applyFill="1" applyBorder="1" applyAlignment="1">
      <alignment horizontal="center" vertical="top"/>
    </xf>
    <xf numFmtId="0" fontId="2" fillId="0" borderId="2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4" fontId="2" fillId="0" borderId="2" xfId="1" applyNumberFormat="1" applyFont="1" applyFill="1" applyBorder="1" applyAlignment="1">
      <alignment horizontal="center" vertical="center"/>
    </xf>
    <xf numFmtId="4" fontId="2" fillId="0" borderId="4" xfId="1" applyNumberFormat="1" applyFont="1" applyFill="1" applyBorder="1" applyAlignment="1">
      <alignment horizontal="center" vertical="center"/>
    </xf>
    <xf numFmtId="0" fontId="2" fillId="0" borderId="2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2" fontId="2" fillId="3" borderId="3" xfId="0" applyNumberFormat="1" applyFont="1" applyFill="1" applyBorder="1" applyAlignment="1">
      <alignment horizontal="center" vertical="center"/>
    </xf>
    <xf numFmtId="0" fontId="14" fillId="0" borderId="2" xfId="0" quotePrefix="1" applyFont="1" applyFill="1" applyBorder="1" applyAlignment="1">
      <alignment horizontal="center" vertical="center"/>
    </xf>
    <xf numFmtId="0" fontId="14" fillId="0" borderId="4" xfId="0" quotePrefix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3" borderId="2" xfId="3" applyNumberFormat="1" applyFont="1" applyFill="1" applyBorder="1" applyAlignment="1">
      <alignment horizontal="center" vertical="center"/>
    </xf>
    <xf numFmtId="49" fontId="2" fillId="3" borderId="4" xfId="3" applyNumberFormat="1" applyFont="1" applyFill="1" applyBorder="1" applyAlignment="1">
      <alignment horizontal="center" vertical="center"/>
    </xf>
    <xf numFmtId="49" fontId="2" fillId="3" borderId="3" xfId="3" applyNumberFormat="1" applyFont="1" applyFill="1" applyBorder="1" applyAlignment="1">
      <alignment horizontal="center" vertical="center"/>
    </xf>
    <xf numFmtId="49" fontId="2" fillId="3" borderId="2" xfId="3" applyNumberFormat="1" applyFont="1" applyFill="1" applyBorder="1" applyAlignment="1">
      <alignment horizontal="left" vertical="center" wrapText="1"/>
    </xf>
    <xf numFmtId="49" fontId="2" fillId="3" borderId="4" xfId="3" applyNumberFormat="1" applyFont="1" applyFill="1" applyBorder="1" applyAlignment="1">
      <alignment horizontal="left" vertical="center" wrapText="1"/>
    </xf>
    <xf numFmtId="49" fontId="2" fillId="3" borderId="3" xfId="3" applyNumberFormat="1" applyFont="1" applyFill="1" applyBorder="1" applyAlignment="1">
      <alignment horizontal="left" vertical="center" wrapText="1"/>
    </xf>
    <xf numFmtId="2" fontId="2" fillId="3" borderId="2" xfId="3" applyNumberFormat="1" applyFont="1" applyFill="1" applyBorder="1" applyAlignment="1">
      <alignment horizontal="center" vertical="center"/>
    </xf>
    <xf numFmtId="2" fontId="2" fillId="3" borderId="4" xfId="3" applyNumberFormat="1" applyFont="1" applyFill="1" applyBorder="1" applyAlignment="1">
      <alignment horizontal="center" vertical="center"/>
    </xf>
    <xf numFmtId="2" fontId="2" fillId="3" borderId="3" xfId="3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 2" xfId="3"/>
    <cellStyle name="Обычный 2 2" xfId="1"/>
    <cellStyle name="Обычный 2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162"/>
  <sheetViews>
    <sheetView tabSelected="1" view="pageBreakPreview" topLeftCell="A143" zoomScale="85" zoomScaleNormal="100" zoomScaleSheetLayoutView="85" zoomScalePageLayoutView="70" workbookViewId="0">
      <selection activeCell="S19" sqref="S19"/>
    </sheetView>
  </sheetViews>
  <sheetFormatPr defaultRowHeight="12.75" outlineLevelRow="2" outlineLevelCol="1" x14ac:dyDescent="0.2"/>
  <cols>
    <col min="1" max="1" width="6.28515625" customWidth="1"/>
    <col min="2" max="2" width="48.140625" customWidth="1"/>
    <col min="3" max="3" width="7.5703125" customWidth="1"/>
    <col min="4" max="13" width="7.5703125" hidden="1" customWidth="1" outlineLevel="1"/>
    <col min="14" max="14" width="7.5703125" customWidth="1" collapsed="1"/>
    <col min="15" max="15" width="27.5703125" customWidth="1"/>
    <col min="16" max="17" width="7.5703125" customWidth="1"/>
    <col min="18" max="18" width="11.140625" customWidth="1"/>
    <col min="19" max="19" width="34.7109375" customWidth="1"/>
    <col min="20" max="20" width="7.7109375" customWidth="1"/>
    <col min="21" max="21" width="8.7109375" customWidth="1"/>
    <col min="22" max="22" width="13.7109375" customWidth="1"/>
  </cols>
  <sheetData>
    <row r="1" spans="1:22" ht="15" hidden="1" customHeight="1" outlineLevel="2" x14ac:dyDescent="0.2">
      <c r="A1" s="3"/>
      <c r="B1" s="11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3"/>
      <c r="O1" s="204"/>
      <c r="P1" s="204"/>
      <c r="Q1" s="204"/>
      <c r="R1" s="204"/>
      <c r="S1" s="204"/>
      <c r="T1" s="204"/>
      <c r="U1" s="204"/>
      <c r="V1" s="204"/>
    </row>
    <row r="2" spans="1:22" outlineLevel="1" collapsed="1" x14ac:dyDescent="0.2">
      <c r="A2" s="3"/>
      <c r="B2" s="11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3"/>
      <c r="O2" s="14"/>
      <c r="P2" s="14"/>
      <c r="Q2" s="14"/>
      <c r="R2" s="15"/>
      <c r="S2" s="15"/>
      <c r="T2" s="15"/>
      <c r="U2" s="15"/>
      <c r="V2" s="15"/>
    </row>
    <row r="3" spans="1:22" ht="18.75" outlineLevel="1" x14ac:dyDescent="0.2">
      <c r="A3" s="10"/>
      <c r="B3" s="16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5"/>
      <c r="O3" s="6"/>
      <c r="P3" s="7"/>
      <c r="Q3" s="7"/>
      <c r="R3" s="205" t="s">
        <v>15</v>
      </c>
      <c r="S3" s="205"/>
      <c r="T3" s="205"/>
      <c r="U3" s="205"/>
      <c r="V3" s="205"/>
    </row>
    <row r="4" spans="1:22" ht="18.75" outlineLevel="1" x14ac:dyDescent="0.2">
      <c r="A4" s="8"/>
      <c r="B4" s="1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5"/>
      <c r="O4" s="6"/>
      <c r="P4" s="7"/>
      <c r="Q4" s="7"/>
      <c r="R4" s="17" t="s">
        <v>31</v>
      </c>
      <c r="S4" s="17"/>
      <c r="T4" s="17"/>
      <c r="U4" s="17"/>
      <c r="V4" s="17"/>
    </row>
    <row r="5" spans="1:22" ht="18.75" outlineLevel="1" x14ac:dyDescent="0.2">
      <c r="A5" s="206"/>
      <c r="B5" s="206"/>
      <c r="C5" s="206"/>
      <c r="D5" s="36"/>
      <c r="E5" s="36"/>
      <c r="F5" s="36"/>
      <c r="G5" s="36"/>
      <c r="H5" s="36"/>
      <c r="I5" s="36"/>
      <c r="J5" s="36"/>
      <c r="K5" s="36"/>
      <c r="L5" s="36"/>
      <c r="M5" s="36"/>
      <c r="N5" s="5"/>
      <c r="O5" s="6"/>
      <c r="P5" s="7"/>
      <c r="Q5" s="7"/>
      <c r="R5" s="206" t="s">
        <v>32</v>
      </c>
      <c r="S5" s="206"/>
      <c r="T5" s="206"/>
      <c r="U5" s="206"/>
      <c r="V5" s="206"/>
    </row>
    <row r="6" spans="1:22" ht="18.75" x14ac:dyDescent="0.2">
      <c r="A6" s="8"/>
      <c r="B6" s="16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5"/>
      <c r="O6" s="6"/>
      <c r="P6" s="7"/>
      <c r="Q6" s="7"/>
      <c r="R6" s="206" t="s">
        <v>43</v>
      </c>
      <c r="S6" s="206"/>
      <c r="T6" s="206"/>
      <c r="U6" s="206"/>
      <c r="V6" s="206"/>
    </row>
    <row r="7" spans="1:22" ht="16.5" customHeight="1" x14ac:dyDescent="0.2">
      <c r="A7" s="8"/>
      <c r="B7" s="16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5"/>
      <c r="O7" s="6"/>
      <c r="P7" s="7"/>
      <c r="Q7" s="7"/>
      <c r="R7" s="36"/>
      <c r="S7" s="36"/>
      <c r="T7" s="36"/>
      <c r="U7" s="36"/>
      <c r="V7" s="36"/>
    </row>
    <row r="8" spans="1:22" s="1" customFormat="1" ht="18.75" x14ac:dyDescent="0.2">
      <c r="A8" s="207" t="s">
        <v>25</v>
      </c>
      <c r="B8" s="207"/>
      <c r="C8" s="207"/>
      <c r="D8" s="207"/>
      <c r="E8" s="207"/>
      <c r="F8" s="207"/>
      <c r="G8" s="207"/>
      <c r="H8" s="207"/>
      <c r="I8" s="207"/>
      <c r="J8" s="207"/>
      <c r="K8" s="207"/>
      <c r="L8" s="207"/>
      <c r="M8" s="207"/>
      <c r="N8" s="207"/>
      <c r="O8" s="207"/>
      <c r="P8" s="207"/>
      <c r="Q8" s="207"/>
      <c r="R8" s="207"/>
      <c r="S8" s="207"/>
      <c r="T8" s="207"/>
      <c r="U8" s="207"/>
      <c r="V8" s="207"/>
    </row>
    <row r="9" spans="1:22" s="1" customFormat="1" ht="18.75" customHeight="1" x14ac:dyDescent="0.2">
      <c r="A9" s="207" t="s">
        <v>256</v>
      </c>
      <c r="B9" s="207"/>
      <c r="C9" s="207"/>
      <c r="D9" s="207"/>
      <c r="E9" s="207"/>
      <c r="F9" s="207"/>
      <c r="G9" s="207"/>
      <c r="H9" s="207"/>
      <c r="I9" s="207"/>
      <c r="J9" s="207"/>
      <c r="K9" s="207"/>
      <c r="L9" s="207"/>
      <c r="M9" s="207"/>
      <c r="N9" s="207"/>
      <c r="O9" s="207"/>
      <c r="P9" s="207"/>
      <c r="Q9" s="207"/>
      <c r="R9" s="207"/>
      <c r="S9" s="207"/>
      <c r="T9" s="207"/>
      <c r="U9" s="207"/>
      <c r="V9" s="207"/>
    </row>
    <row r="10" spans="1:22" s="1" customFormat="1" ht="18" customHeight="1" x14ac:dyDescent="0.2">
      <c r="A10" s="207" t="s">
        <v>257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</row>
    <row r="11" spans="1:22" s="1" customFormat="1" ht="15" customHeight="1" x14ac:dyDescent="0.2">
      <c r="A11" s="211"/>
      <c r="B11" s="211" t="s">
        <v>0</v>
      </c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208" t="s">
        <v>3</v>
      </c>
      <c r="P11" s="209"/>
      <c r="Q11" s="209"/>
      <c r="R11" s="210"/>
      <c r="S11" s="208" t="s">
        <v>7</v>
      </c>
      <c r="T11" s="209"/>
      <c r="U11" s="209"/>
      <c r="V11" s="210"/>
    </row>
    <row r="12" spans="1:22" s="1" customFormat="1" ht="30" x14ac:dyDescent="0.2">
      <c r="A12" s="211"/>
      <c r="B12" s="211"/>
      <c r="C12" s="18" t="s">
        <v>6</v>
      </c>
      <c r="D12" s="37"/>
      <c r="E12" s="37"/>
      <c r="F12" s="37"/>
      <c r="G12" s="37"/>
      <c r="H12" s="37"/>
      <c r="I12" s="37"/>
      <c r="J12" s="37"/>
      <c r="K12" s="37"/>
      <c r="L12" s="37"/>
      <c r="M12" s="37"/>
      <c r="N12" s="37" t="s">
        <v>1</v>
      </c>
      <c r="O12" s="37" t="s">
        <v>2</v>
      </c>
      <c r="P12" s="37" t="s">
        <v>4</v>
      </c>
      <c r="Q12" s="37" t="s">
        <v>1</v>
      </c>
      <c r="R12" s="37" t="s">
        <v>8</v>
      </c>
      <c r="S12" s="37" t="s">
        <v>2</v>
      </c>
      <c r="T12" s="37" t="s">
        <v>4</v>
      </c>
      <c r="U12" s="37" t="s">
        <v>1</v>
      </c>
      <c r="V12" s="37" t="s">
        <v>14</v>
      </c>
    </row>
    <row r="13" spans="1:22" ht="31.5" x14ac:dyDescent="0.2">
      <c r="A13" s="74"/>
      <c r="B13" s="75" t="s">
        <v>113</v>
      </c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  <c r="O13" s="74"/>
      <c r="P13" s="74"/>
      <c r="Q13" s="74"/>
      <c r="R13" s="74"/>
      <c r="S13" s="74"/>
      <c r="T13" s="74"/>
      <c r="U13" s="74"/>
      <c r="V13" s="74"/>
    </row>
    <row r="14" spans="1:22" ht="15.75" x14ac:dyDescent="0.2">
      <c r="A14" s="23"/>
      <c r="B14" s="30" t="s">
        <v>29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8"/>
      <c r="S14" s="23"/>
      <c r="T14" s="23"/>
      <c r="U14" s="23"/>
      <c r="V14" s="23"/>
    </row>
    <row r="15" spans="1:22" x14ac:dyDescent="0.2">
      <c r="A15" s="21" t="s">
        <v>9</v>
      </c>
      <c r="B15" s="42" t="s">
        <v>45</v>
      </c>
      <c r="C15" s="21" t="s">
        <v>22</v>
      </c>
      <c r="D15" s="39">
        <v>4</v>
      </c>
      <c r="E15" s="39"/>
      <c r="F15" s="39"/>
      <c r="G15" s="39"/>
      <c r="H15" s="39">
        <f>SUM(D15:G15)</f>
        <v>4</v>
      </c>
      <c r="I15" s="39"/>
      <c r="J15" s="39"/>
      <c r="K15" s="39"/>
      <c r="L15" s="39"/>
      <c r="M15" s="39">
        <f t="shared" ref="M15" si="0">SUM(I15:L15)</f>
        <v>0</v>
      </c>
      <c r="N15" s="39">
        <f t="shared" ref="N15:N19" si="1">H15-M15</f>
        <v>4</v>
      </c>
      <c r="O15" s="42" t="s">
        <v>44</v>
      </c>
      <c r="P15" s="21" t="s">
        <v>22</v>
      </c>
      <c r="Q15" s="39">
        <f>N15</f>
        <v>4</v>
      </c>
      <c r="R15" s="21" t="s">
        <v>33</v>
      </c>
      <c r="S15" s="21"/>
      <c r="T15" s="21"/>
      <c r="U15" s="21"/>
      <c r="V15" s="21" t="s">
        <v>11</v>
      </c>
    </row>
    <row r="16" spans="1:22" x14ac:dyDescent="0.2">
      <c r="A16" s="21" t="s">
        <v>10</v>
      </c>
      <c r="B16" s="42" t="s">
        <v>34</v>
      </c>
      <c r="C16" s="21" t="s">
        <v>22</v>
      </c>
      <c r="D16" s="39">
        <v>2</v>
      </c>
      <c r="E16" s="39"/>
      <c r="F16" s="39"/>
      <c r="G16" s="39"/>
      <c r="H16" s="39">
        <f t="shared" ref="H16:H18" si="2">SUM(D16:G16)</f>
        <v>2</v>
      </c>
      <c r="I16" s="39"/>
      <c r="J16" s="39"/>
      <c r="K16" s="39"/>
      <c r="L16" s="39"/>
      <c r="M16" s="39">
        <f t="shared" ref="M16:M18" si="3">SUM(I16:L16)</f>
        <v>0</v>
      </c>
      <c r="N16" s="39">
        <f t="shared" ref="N16:N18" si="4">H16-M16</f>
        <v>2</v>
      </c>
      <c r="O16" s="42" t="s">
        <v>28</v>
      </c>
      <c r="P16" s="21" t="s">
        <v>22</v>
      </c>
      <c r="Q16" s="39">
        <f t="shared" ref="Q16:Q18" si="5">N16</f>
        <v>2</v>
      </c>
      <c r="R16" s="21" t="s">
        <v>13</v>
      </c>
      <c r="S16" s="21"/>
      <c r="T16" s="21"/>
      <c r="U16" s="21"/>
      <c r="V16" s="21" t="s">
        <v>11</v>
      </c>
    </row>
    <row r="17" spans="1:22" x14ac:dyDescent="0.2">
      <c r="A17" s="21" t="s">
        <v>16</v>
      </c>
      <c r="B17" s="42" t="s">
        <v>35</v>
      </c>
      <c r="C17" s="21" t="s">
        <v>22</v>
      </c>
      <c r="D17" s="39">
        <v>1</v>
      </c>
      <c r="E17" s="39"/>
      <c r="F17" s="39"/>
      <c r="G17" s="39"/>
      <c r="H17" s="39">
        <f t="shared" si="2"/>
        <v>1</v>
      </c>
      <c r="I17" s="39"/>
      <c r="J17" s="39"/>
      <c r="K17" s="39"/>
      <c r="L17" s="39"/>
      <c r="M17" s="39">
        <f t="shared" si="3"/>
        <v>0</v>
      </c>
      <c r="N17" s="39">
        <f t="shared" si="4"/>
        <v>1</v>
      </c>
      <c r="O17" s="42" t="s">
        <v>27</v>
      </c>
      <c r="P17" s="21" t="s">
        <v>22</v>
      </c>
      <c r="Q17" s="39">
        <f t="shared" si="5"/>
        <v>1</v>
      </c>
      <c r="R17" s="21" t="s">
        <v>13</v>
      </c>
      <c r="S17" s="21"/>
      <c r="T17" s="21"/>
      <c r="U17" s="21"/>
      <c r="V17" s="21" t="s">
        <v>11</v>
      </c>
    </row>
    <row r="18" spans="1:22" x14ac:dyDescent="0.2">
      <c r="A18" s="21" t="s">
        <v>17</v>
      </c>
      <c r="B18" s="42" t="s">
        <v>244</v>
      </c>
      <c r="C18" s="21" t="s">
        <v>20</v>
      </c>
      <c r="D18" s="39">
        <v>3</v>
      </c>
      <c r="E18" s="39"/>
      <c r="F18" s="39"/>
      <c r="G18" s="39"/>
      <c r="H18" s="39">
        <f t="shared" si="2"/>
        <v>3</v>
      </c>
      <c r="I18" s="39"/>
      <c r="J18" s="39"/>
      <c r="K18" s="39"/>
      <c r="L18" s="39"/>
      <c r="M18" s="39">
        <f t="shared" si="3"/>
        <v>0</v>
      </c>
      <c r="N18" s="39">
        <f t="shared" si="4"/>
        <v>3</v>
      </c>
      <c r="O18" s="42" t="s">
        <v>30</v>
      </c>
      <c r="P18" s="21" t="s">
        <v>20</v>
      </c>
      <c r="Q18" s="39">
        <f t="shared" si="5"/>
        <v>3</v>
      </c>
      <c r="R18" s="21" t="s">
        <v>13</v>
      </c>
      <c r="S18" s="21"/>
      <c r="T18" s="21"/>
      <c r="U18" s="21"/>
      <c r="V18" s="21" t="s">
        <v>11</v>
      </c>
    </row>
    <row r="19" spans="1:22" ht="25.5" x14ac:dyDescent="0.2">
      <c r="A19" s="21" t="s">
        <v>26</v>
      </c>
      <c r="B19" s="42" t="s">
        <v>52</v>
      </c>
      <c r="C19" s="21" t="s">
        <v>5</v>
      </c>
      <c r="D19" s="39">
        <v>15</v>
      </c>
      <c r="E19" s="39"/>
      <c r="F19" s="39"/>
      <c r="G19" s="39"/>
      <c r="H19" s="39">
        <f>SUM(D19:G19)</f>
        <v>15</v>
      </c>
      <c r="I19" s="39"/>
      <c r="J19" s="39"/>
      <c r="K19" s="39"/>
      <c r="L19" s="39"/>
      <c r="M19" s="39">
        <f>SUM(I19:L19)</f>
        <v>0</v>
      </c>
      <c r="N19" s="39">
        <f t="shared" si="1"/>
        <v>15</v>
      </c>
      <c r="O19" s="42" t="s">
        <v>51</v>
      </c>
      <c r="P19" s="21" t="s">
        <v>5</v>
      </c>
      <c r="Q19" s="39">
        <f>N19</f>
        <v>15</v>
      </c>
      <c r="R19" s="21" t="s">
        <v>53</v>
      </c>
      <c r="S19" s="42"/>
      <c r="T19" s="21"/>
      <c r="U19" s="21"/>
      <c r="V19" s="21" t="s">
        <v>11</v>
      </c>
    </row>
    <row r="20" spans="1:22" ht="25.5" x14ac:dyDescent="0.2">
      <c r="A20" s="47">
        <v>6</v>
      </c>
      <c r="B20" s="27" t="s">
        <v>158</v>
      </c>
      <c r="C20" s="47" t="s">
        <v>5</v>
      </c>
      <c r="D20" s="48">
        <f>0.9*2.1*3</f>
        <v>5.67</v>
      </c>
      <c r="E20" s="48"/>
      <c r="F20" s="48"/>
      <c r="G20" s="48"/>
      <c r="H20" s="39">
        <f t="shared" ref="H20:H26" si="6">SUM(D20:G20)</f>
        <v>5.67</v>
      </c>
      <c r="I20" s="39"/>
      <c r="J20" s="39"/>
      <c r="K20" s="38"/>
      <c r="L20" s="38"/>
      <c r="M20" s="39">
        <f t="shared" ref="M20:M24" si="7">SUM(I20:L20)</f>
        <v>0</v>
      </c>
      <c r="N20" s="39">
        <f t="shared" ref="N20:N24" si="8">H20-M20</f>
        <v>5.67</v>
      </c>
      <c r="O20" s="26" t="s">
        <v>54</v>
      </c>
      <c r="P20" s="49" t="s">
        <v>55</v>
      </c>
      <c r="Q20" s="38">
        <v>3</v>
      </c>
      <c r="R20" s="21" t="s">
        <v>33</v>
      </c>
      <c r="S20" s="42"/>
      <c r="T20" s="21"/>
      <c r="U20" s="21"/>
      <c r="V20" s="57" t="s">
        <v>11</v>
      </c>
    </row>
    <row r="21" spans="1:22" x14ac:dyDescent="0.2">
      <c r="A21" s="21" t="s">
        <v>19</v>
      </c>
      <c r="B21" s="27" t="s">
        <v>77</v>
      </c>
      <c r="C21" s="40" t="s">
        <v>5</v>
      </c>
      <c r="D21" s="39">
        <f>1.9*1.2</f>
        <v>2.2799999999999998</v>
      </c>
      <c r="E21" s="39"/>
      <c r="F21" s="39"/>
      <c r="G21" s="39"/>
      <c r="H21" s="39">
        <f t="shared" si="6"/>
        <v>2.2799999999999998</v>
      </c>
      <c r="I21" s="39"/>
      <c r="J21" s="39"/>
      <c r="K21" s="39"/>
      <c r="L21" s="39"/>
      <c r="M21" s="39">
        <f>SUM(I21:L21)</f>
        <v>0</v>
      </c>
      <c r="N21" s="41">
        <v>2.2799999999999998</v>
      </c>
      <c r="O21" s="43" t="s">
        <v>245</v>
      </c>
      <c r="P21" s="44" t="s">
        <v>5</v>
      </c>
      <c r="Q21" s="39">
        <v>2.25</v>
      </c>
      <c r="R21" s="21" t="s">
        <v>33</v>
      </c>
      <c r="S21" s="43"/>
      <c r="T21" s="44"/>
      <c r="U21" s="44"/>
      <c r="V21" s="57" t="s">
        <v>11</v>
      </c>
    </row>
    <row r="22" spans="1:22" ht="51" x14ac:dyDescent="0.2">
      <c r="A22" s="47">
        <v>8</v>
      </c>
      <c r="B22" s="42" t="s">
        <v>46</v>
      </c>
      <c r="C22" s="47" t="s">
        <v>5</v>
      </c>
      <c r="D22" s="48">
        <f>(2+1.8)*2.7</f>
        <v>10.26</v>
      </c>
      <c r="E22" s="48"/>
      <c r="F22" s="48"/>
      <c r="G22" s="48"/>
      <c r="H22" s="39">
        <f t="shared" si="6"/>
        <v>10.26</v>
      </c>
      <c r="I22" s="39">
        <f>0.9*2.1</f>
        <v>1.8900000000000001</v>
      </c>
      <c r="J22" s="39"/>
      <c r="K22" s="38">
        <f>H21</f>
        <v>2.2799999999999998</v>
      </c>
      <c r="L22" s="38"/>
      <c r="M22" s="39">
        <f t="shared" si="7"/>
        <v>4.17</v>
      </c>
      <c r="N22" s="39">
        <f t="shared" si="8"/>
        <v>6.09</v>
      </c>
      <c r="O22" s="50" t="s">
        <v>58</v>
      </c>
      <c r="P22" s="49" t="s">
        <v>5</v>
      </c>
      <c r="Q22" s="38">
        <f>N22</f>
        <v>6.09</v>
      </c>
      <c r="R22" s="21" t="s">
        <v>53</v>
      </c>
      <c r="S22" s="42"/>
      <c r="T22" s="21"/>
      <c r="U22" s="21"/>
      <c r="V22" s="57" t="s">
        <v>11</v>
      </c>
    </row>
    <row r="23" spans="1:22" ht="25.5" x14ac:dyDescent="0.2">
      <c r="A23" s="182">
        <v>9</v>
      </c>
      <c r="B23" s="180" t="s">
        <v>59</v>
      </c>
      <c r="C23" s="182" t="s">
        <v>60</v>
      </c>
      <c r="D23" s="200">
        <v>20</v>
      </c>
      <c r="E23" s="200"/>
      <c r="F23" s="200"/>
      <c r="G23" s="200"/>
      <c r="H23" s="200">
        <f t="shared" si="6"/>
        <v>20</v>
      </c>
      <c r="I23" s="200"/>
      <c r="J23" s="200"/>
      <c r="K23" s="200"/>
      <c r="L23" s="200"/>
      <c r="M23" s="200">
        <f t="shared" si="7"/>
        <v>0</v>
      </c>
      <c r="N23" s="200">
        <f t="shared" si="8"/>
        <v>20</v>
      </c>
      <c r="O23" s="27" t="s">
        <v>61</v>
      </c>
      <c r="P23" s="38" t="s">
        <v>5</v>
      </c>
      <c r="Q23" s="54">
        <v>10</v>
      </c>
      <c r="R23" s="21" t="s">
        <v>33</v>
      </c>
      <c r="S23" s="42"/>
      <c r="T23" s="21"/>
      <c r="U23" s="21"/>
      <c r="V23" s="57" t="s">
        <v>11</v>
      </c>
    </row>
    <row r="24" spans="1:22" ht="25.5" x14ac:dyDescent="0.2">
      <c r="A24" s="190"/>
      <c r="B24" s="203"/>
      <c r="C24" s="190"/>
      <c r="D24" s="202"/>
      <c r="E24" s="202"/>
      <c r="F24" s="202"/>
      <c r="G24" s="202"/>
      <c r="H24" s="202">
        <f t="shared" si="6"/>
        <v>0</v>
      </c>
      <c r="I24" s="202"/>
      <c r="J24" s="202"/>
      <c r="K24" s="202"/>
      <c r="L24" s="202"/>
      <c r="M24" s="202">
        <f t="shared" si="7"/>
        <v>0</v>
      </c>
      <c r="N24" s="202">
        <f t="shared" si="8"/>
        <v>0</v>
      </c>
      <c r="O24" s="27" t="s">
        <v>61</v>
      </c>
      <c r="P24" s="38" t="s">
        <v>5</v>
      </c>
      <c r="Q24" s="54">
        <v>10</v>
      </c>
      <c r="R24" s="21" t="s">
        <v>53</v>
      </c>
      <c r="S24" s="42"/>
      <c r="T24" s="21"/>
      <c r="U24" s="21"/>
      <c r="V24" s="57" t="s">
        <v>11</v>
      </c>
    </row>
    <row r="25" spans="1:22" ht="15" x14ac:dyDescent="0.2">
      <c r="A25" s="125">
        <v>10</v>
      </c>
      <c r="B25" s="127" t="s">
        <v>146</v>
      </c>
      <c r="C25" s="125" t="s">
        <v>5</v>
      </c>
      <c r="D25" s="123">
        <f>(1.52+1.73*2)*0.5</f>
        <v>2.4900000000000002</v>
      </c>
      <c r="E25" s="123"/>
      <c r="F25" s="123"/>
      <c r="G25" s="123"/>
      <c r="H25" s="130">
        <f t="shared" si="6"/>
        <v>2.4900000000000002</v>
      </c>
      <c r="I25" s="123"/>
      <c r="J25" s="123"/>
      <c r="K25" s="123"/>
      <c r="L25" s="123"/>
      <c r="M25" s="123"/>
      <c r="N25" s="135">
        <f>H25-M25</f>
        <v>2.4900000000000002</v>
      </c>
      <c r="O25" s="27" t="s">
        <v>148</v>
      </c>
      <c r="P25" s="69" t="s">
        <v>5</v>
      </c>
      <c r="Q25" s="54">
        <f>N25</f>
        <v>2.4900000000000002</v>
      </c>
      <c r="R25" s="57" t="s">
        <v>53</v>
      </c>
      <c r="S25" s="42"/>
      <c r="T25" s="57"/>
      <c r="U25" s="57"/>
      <c r="V25" s="57" t="s">
        <v>11</v>
      </c>
    </row>
    <row r="26" spans="1:22" ht="15" x14ac:dyDescent="0.2">
      <c r="A26" s="125">
        <v>11</v>
      </c>
      <c r="B26" s="127" t="s">
        <v>147</v>
      </c>
      <c r="C26" s="125" t="s">
        <v>60</v>
      </c>
      <c r="D26" s="123">
        <f>1.6</f>
        <v>1.6</v>
      </c>
      <c r="E26" s="123"/>
      <c r="F26" s="123"/>
      <c r="G26" s="123"/>
      <c r="H26" s="130">
        <f t="shared" si="6"/>
        <v>1.6</v>
      </c>
      <c r="I26" s="123"/>
      <c r="J26" s="123"/>
      <c r="K26" s="123"/>
      <c r="L26" s="123"/>
      <c r="M26" s="123"/>
      <c r="N26" s="135">
        <f>H26-M26</f>
        <v>1.6</v>
      </c>
      <c r="O26" s="27" t="s">
        <v>149</v>
      </c>
      <c r="P26" s="69" t="s">
        <v>5</v>
      </c>
      <c r="Q26" s="54">
        <f>N26</f>
        <v>1.6</v>
      </c>
      <c r="R26" s="57" t="s">
        <v>53</v>
      </c>
      <c r="S26" s="42"/>
      <c r="T26" s="57"/>
      <c r="U26" s="57"/>
      <c r="V26" s="57" t="s">
        <v>11</v>
      </c>
    </row>
    <row r="27" spans="1:22" x14ac:dyDescent="0.2">
      <c r="A27" s="19" t="s">
        <v>48</v>
      </c>
      <c r="B27" s="26" t="s">
        <v>157</v>
      </c>
      <c r="C27" s="131" t="s">
        <v>5</v>
      </c>
      <c r="D27" s="130">
        <f>1.55*1.75</f>
        <v>2.7124999999999999</v>
      </c>
      <c r="E27" s="130"/>
      <c r="F27" s="130"/>
      <c r="G27" s="130"/>
      <c r="H27" s="130">
        <f t="shared" ref="H27" si="9">SUM(D27:G27)</f>
        <v>2.7124999999999999</v>
      </c>
      <c r="I27" s="130"/>
      <c r="J27" s="130"/>
      <c r="K27" s="130"/>
      <c r="L27" s="130"/>
      <c r="M27" s="130">
        <f>SUM(I27:L27)</f>
        <v>0</v>
      </c>
      <c r="N27" s="135">
        <f>H27-M27</f>
        <v>2.7124999999999999</v>
      </c>
      <c r="O27" s="43" t="s">
        <v>246</v>
      </c>
      <c r="P27" s="44" t="s">
        <v>5</v>
      </c>
      <c r="Q27" s="39">
        <f>N27</f>
        <v>2.7124999999999999</v>
      </c>
      <c r="R27" s="57" t="s">
        <v>53</v>
      </c>
      <c r="S27" s="43"/>
      <c r="T27" s="44"/>
      <c r="U27" s="44"/>
      <c r="V27" s="45" t="s">
        <v>11</v>
      </c>
    </row>
    <row r="28" spans="1:22" ht="15.75" x14ac:dyDescent="0.2">
      <c r="A28" s="23"/>
      <c r="B28" s="30" t="s">
        <v>114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8"/>
      <c r="S28" s="23"/>
      <c r="T28" s="23"/>
      <c r="U28" s="23"/>
      <c r="V28" s="23"/>
    </row>
    <row r="29" spans="1:22" ht="25.5" x14ac:dyDescent="0.2">
      <c r="A29" s="19" t="s">
        <v>9</v>
      </c>
      <c r="B29" s="26" t="s">
        <v>150</v>
      </c>
      <c r="C29" s="40" t="s">
        <v>5</v>
      </c>
      <c r="D29" s="39">
        <f>1.55*1.75</f>
        <v>2.7124999999999999</v>
      </c>
      <c r="E29" s="39"/>
      <c r="F29" s="39"/>
      <c r="G29" s="39"/>
      <c r="H29" s="39">
        <f>SUM(D29:G29)</f>
        <v>2.7124999999999999</v>
      </c>
      <c r="I29" s="39"/>
      <c r="J29" s="39"/>
      <c r="K29" s="39"/>
      <c r="L29" s="39"/>
      <c r="M29" s="39">
        <f>SUM(I29:L29)</f>
        <v>0</v>
      </c>
      <c r="N29" s="41">
        <f>H29-M29</f>
        <v>2.7124999999999999</v>
      </c>
      <c r="O29" s="43"/>
      <c r="P29" s="44"/>
      <c r="Q29" s="39"/>
      <c r="R29" s="57"/>
      <c r="S29" s="43" t="s">
        <v>253</v>
      </c>
      <c r="T29" s="44" t="s">
        <v>5</v>
      </c>
      <c r="U29" s="39">
        <f>N29</f>
        <v>2.7124999999999999</v>
      </c>
      <c r="V29" s="45" t="s">
        <v>11</v>
      </c>
    </row>
    <row r="30" spans="1:22" ht="15" x14ac:dyDescent="0.2">
      <c r="A30" s="125">
        <v>2</v>
      </c>
      <c r="B30" s="127" t="s">
        <v>151</v>
      </c>
      <c r="C30" s="63" t="s">
        <v>60</v>
      </c>
      <c r="D30" s="56">
        <f>1.6</f>
        <v>1.6</v>
      </c>
      <c r="E30" s="56"/>
      <c r="F30" s="56"/>
      <c r="G30" s="56"/>
      <c r="H30" s="39">
        <f>SUM(D30:G30)</f>
        <v>1.6</v>
      </c>
      <c r="I30" s="56"/>
      <c r="J30" s="56"/>
      <c r="K30" s="56"/>
      <c r="L30" s="56"/>
      <c r="M30" s="56"/>
      <c r="N30" s="41">
        <f>H30-M30</f>
        <v>1.6</v>
      </c>
      <c r="O30" s="43"/>
      <c r="P30" s="44"/>
      <c r="Q30" s="39"/>
      <c r="R30" s="57"/>
      <c r="S30" s="27" t="s">
        <v>149</v>
      </c>
      <c r="T30" s="69" t="s">
        <v>5</v>
      </c>
      <c r="U30" s="54">
        <f>N30</f>
        <v>1.6</v>
      </c>
      <c r="V30" s="45" t="s">
        <v>11</v>
      </c>
    </row>
    <row r="31" spans="1:22" ht="15" x14ac:dyDescent="0.2">
      <c r="A31" s="125">
        <v>3</v>
      </c>
      <c r="B31" s="127" t="s">
        <v>221</v>
      </c>
      <c r="C31" s="63" t="s">
        <v>5</v>
      </c>
      <c r="D31" s="56">
        <f>(1.52+1.73*2)*0.5</f>
        <v>2.4900000000000002</v>
      </c>
      <c r="E31" s="56"/>
      <c r="F31" s="56"/>
      <c r="G31" s="56"/>
      <c r="H31" s="39">
        <f t="shared" ref="H31" si="10">SUM(D31:G31)</f>
        <v>2.4900000000000002</v>
      </c>
      <c r="I31" s="56"/>
      <c r="J31" s="56"/>
      <c r="K31" s="56"/>
      <c r="L31" s="56"/>
      <c r="M31" s="56"/>
      <c r="N31" s="41">
        <f>H31-M31</f>
        <v>2.4900000000000002</v>
      </c>
      <c r="O31" s="43"/>
      <c r="P31" s="44"/>
      <c r="Q31" s="39"/>
      <c r="R31" s="57"/>
      <c r="S31" s="27" t="s">
        <v>148</v>
      </c>
      <c r="T31" s="69" t="s">
        <v>5</v>
      </c>
      <c r="U31" s="54">
        <f>N31</f>
        <v>2.4900000000000002</v>
      </c>
      <c r="V31" s="45" t="s">
        <v>11</v>
      </c>
    </row>
    <row r="32" spans="1:22" s="46" customFormat="1" ht="25.5" x14ac:dyDescent="0.2">
      <c r="A32" s="21" t="s">
        <v>17</v>
      </c>
      <c r="B32" s="43" t="s">
        <v>63</v>
      </c>
      <c r="C32" s="44" t="s">
        <v>5</v>
      </c>
      <c r="D32" s="39">
        <v>15</v>
      </c>
      <c r="E32" s="39"/>
      <c r="F32" s="39"/>
      <c r="G32" s="39"/>
      <c r="H32" s="39">
        <f>SUM(D32:G32)</f>
        <v>15</v>
      </c>
      <c r="I32" s="39"/>
      <c r="J32" s="39"/>
      <c r="K32" s="39"/>
      <c r="L32" s="39"/>
      <c r="M32" s="39">
        <f>SUM(I32:L32)</f>
        <v>0</v>
      </c>
      <c r="N32" s="39">
        <f>H32-M32</f>
        <v>15</v>
      </c>
      <c r="O32" s="42"/>
      <c r="P32" s="21"/>
      <c r="Q32" s="39"/>
      <c r="R32" s="21"/>
      <c r="S32" s="43" t="s">
        <v>49</v>
      </c>
      <c r="T32" s="44" t="s">
        <v>5</v>
      </c>
      <c r="U32" s="39">
        <f>N32</f>
        <v>15</v>
      </c>
      <c r="V32" s="45" t="s">
        <v>11</v>
      </c>
    </row>
    <row r="33" spans="1:22" x14ac:dyDescent="0.2">
      <c r="A33" s="212" t="s">
        <v>26</v>
      </c>
      <c r="B33" s="216" t="s">
        <v>78</v>
      </c>
      <c r="C33" s="212" t="s">
        <v>22</v>
      </c>
      <c r="D33" s="214">
        <v>4</v>
      </c>
      <c r="E33" s="214"/>
      <c r="F33" s="214"/>
      <c r="G33" s="214"/>
      <c r="H33" s="214">
        <f>SUM(D33:G34)</f>
        <v>4</v>
      </c>
      <c r="I33" s="214"/>
      <c r="J33" s="214"/>
      <c r="K33" s="214"/>
      <c r="L33" s="214"/>
      <c r="M33" s="214"/>
      <c r="N33" s="214">
        <f>H33-M33</f>
        <v>4</v>
      </c>
      <c r="O33" s="214"/>
      <c r="P33" s="214"/>
      <c r="Q33" s="214"/>
      <c r="R33" s="214"/>
      <c r="S33" s="42" t="s">
        <v>67</v>
      </c>
      <c r="T33" s="21" t="s">
        <v>22</v>
      </c>
      <c r="U33" s="39">
        <f>N33</f>
        <v>4</v>
      </c>
      <c r="V33" s="21" t="s">
        <v>33</v>
      </c>
    </row>
    <row r="34" spans="1:22" s="46" customFormat="1" ht="25.5" x14ac:dyDescent="0.2">
      <c r="A34" s="213"/>
      <c r="B34" s="217"/>
      <c r="C34" s="213"/>
      <c r="D34" s="215"/>
      <c r="E34" s="215"/>
      <c r="F34" s="215"/>
      <c r="G34" s="215"/>
      <c r="H34" s="215"/>
      <c r="I34" s="215"/>
      <c r="J34" s="215"/>
      <c r="K34" s="215"/>
      <c r="L34" s="215"/>
      <c r="M34" s="215"/>
      <c r="N34" s="215"/>
      <c r="O34" s="215"/>
      <c r="P34" s="215"/>
      <c r="Q34" s="215"/>
      <c r="R34" s="215"/>
      <c r="S34" s="42" t="s">
        <v>36</v>
      </c>
      <c r="T34" s="21" t="s">
        <v>40</v>
      </c>
      <c r="U34" s="39">
        <f>U33*2</f>
        <v>8</v>
      </c>
      <c r="V34" s="21" t="s">
        <v>11</v>
      </c>
    </row>
    <row r="35" spans="1:22" ht="38.25" x14ac:dyDescent="0.2">
      <c r="A35" s="212" t="s">
        <v>18</v>
      </c>
      <c r="B35" s="216" t="s">
        <v>86</v>
      </c>
      <c r="C35" s="212" t="s">
        <v>22</v>
      </c>
      <c r="D35" s="214">
        <v>6</v>
      </c>
      <c r="E35" s="214"/>
      <c r="F35" s="214"/>
      <c r="G35" s="214"/>
      <c r="H35" s="214">
        <f>SUM(D35:G35)</f>
        <v>6</v>
      </c>
      <c r="I35" s="214"/>
      <c r="J35" s="214"/>
      <c r="K35" s="214"/>
      <c r="L35" s="214"/>
      <c r="M35" s="214">
        <f>SUM(I35:L35)</f>
        <v>0</v>
      </c>
      <c r="N35" s="214">
        <f>H35-M35</f>
        <v>6</v>
      </c>
      <c r="O35" s="214" t="s">
        <v>56</v>
      </c>
      <c r="P35" s="214" t="s">
        <v>55</v>
      </c>
      <c r="Q35" s="214">
        <f>N35</f>
        <v>6</v>
      </c>
      <c r="R35" s="214" t="s">
        <v>83</v>
      </c>
      <c r="S35" s="42" t="s">
        <v>84</v>
      </c>
      <c r="T35" s="21" t="s">
        <v>85</v>
      </c>
      <c r="U35" s="39">
        <f>N35</f>
        <v>6</v>
      </c>
      <c r="V35" s="21" t="s">
        <v>11</v>
      </c>
    </row>
    <row r="36" spans="1:22" s="46" customFormat="1" ht="25.5" x14ac:dyDescent="0.2">
      <c r="A36" s="213"/>
      <c r="B36" s="217"/>
      <c r="C36" s="213"/>
      <c r="D36" s="215"/>
      <c r="E36" s="215"/>
      <c r="F36" s="215"/>
      <c r="G36" s="215"/>
      <c r="H36" s="215"/>
      <c r="I36" s="215"/>
      <c r="J36" s="215"/>
      <c r="K36" s="215"/>
      <c r="L36" s="215"/>
      <c r="M36" s="215"/>
      <c r="N36" s="215"/>
      <c r="O36" s="215"/>
      <c r="P36" s="215"/>
      <c r="Q36" s="215"/>
      <c r="R36" s="215"/>
      <c r="S36" s="42" t="s">
        <v>36</v>
      </c>
      <c r="T36" s="21" t="s">
        <v>40</v>
      </c>
      <c r="U36" s="39">
        <f>U35*2</f>
        <v>12</v>
      </c>
      <c r="V36" s="21" t="s">
        <v>11</v>
      </c>
    </row>
    <row r="37" spans="1:22" s="46" customFormat="1" ht="24" x14ac:dyDescent="0.2">
      <c r="A37" s="114">
        <v>7</v>
      </c>
      <c r="B37" s="115" t="s">
        <v>236</v>
      </c>
      <c r="C37" s="112" t="s">
        <v>55</v>
      </c>
      <c r="D37" s="113">
        <v>3</v>
      </c>
      <c r="E37" s="67"/>
      <c r="F37" s="67"/>
      <c r="G37" s="67"/>
      <c r="H37" s="67"/>
      <c r="I37" s="67"/>
      <c r="J37" s="67"/>
      <c r="K37" s="67"/>
      <c r="L37" s="67"/>
      <c r="M37" s="67"/>
      <c r="N37" s="39">
        <v>5</v>
      </c>
      <c r="O37" s="116"/>
      <c r="P37" s="117"/>
      <c r="Q37" s="113"/>
      <c r="R37" s="40"/>
      <c r="S37" s="118" t="s">
        <v>235</v>
      </c>
      <c r="T37" s="117" t="s">
        <v>55</v>
      </c>
      <c r="U37" s="113">
        <v>5</v>
      </c>
      <c r="V37" s="128" t="s">
        <v>11</v>
      </c>
    </row>
    <row r="38" spans="1:22" x14ac:dyDescent="0.2">
      <c r="A38" s="222" t="s">
        <v>21</v>
      </c>
      <c r="B38" s="180" t="s">
        <v>208</v>
      </c>
      <c r="C38" s="222" t="s">
        <v>23</v>
      </c>
      <c r="D38" s="184">
        <v>6</v>
      </c>
      <c r="E38" s="173"/>
      <c r="F38" s="173"/>
      <c r="G38" s="173"/>
      <c r="H38" s="177"/>
      <c r="I38" s="176"/>
      <c r="J38" s="130"/>
      <c r="K38" s="137"/>
      <c r="L38" s="68"/>
      <c r="M38" s="68"/>
      <c r="N38" s="171">
        <v>6</v>
      </c>
      <c r="O38" s="171"/>
      <c r="P38" s="171"/>
      <c r="Q38" s="171"/>
      <c r="R38" s="171"/>
      <c r="S38" s="26" t="s">
        <v>237</v>
      </c>
      <c r="T38" s="138" t="s">
        <v>23</v>
      </c>
      <c r="U38" s="139">
        <f>N38</f>
        <v>6</v>
      </c>
      <c r="V38" s="128" t="s">
        <v>11</v>
      </c>
    </row>
    <row r="39" spans="1:22" x14ac:dyDescent="0.2">
      <c r="A39" s="222"/>
      <c r="B39" s="181"/>
      <c r="C39" s="222"/>
      <c r="D39" s="185"/>
      <c r="E39" s="173"/>
      <c r="F39" s="173"/>
      <c r="G39" s="173"/>
      <c r="H39" s="177"/>
      <c r="I39" s="176"/>
      <c r="J39" s="130"/>
      <c r="K39" s="137"/>
      <c r="L39" s="68"/>
      <c r="M39" s="68"/>
      <c r="N39" s="172"/>
      <c r="O39" s="172"/>
      <c r="P39" s="172"/>
      <c r="Q39" s="172"/>
      <c r="R39" s="172"/>
      <c r="S39" s="140" t="s">
        <v>247</v>
      </c>
      <c r="T39" s="141" t="s">
        <v>23</v>
      </c>
      <c r="U39" s="142">
        <v>6</v>
      </c>
      <c r="V39" s="128" t="s">
        <v>11</v>
      </c>
    </row>
    <row r="40" spans="1:22" s="46" customFormat="1" ht="25.5" customHeight="1" x14ac:dyDescent="0.2">
      <c r="A40" s="280" t="s">
        <v>24</v>
      </c>
      <c r="B40" s="283" t="s">
        <v>238</v>
      </c>
      <c r="C40" s="280" t="s">
        <v>60</v>
      </c>
      <c r="D40" s="143">
        <v>30</v>
      </c>
      <c r="E40" s="143"/>
      <c r="F40" s="143"/>
      <c r="G40" s="143"/>
      <c r="H40" s="143"/>
      <c r="I40" s="144"/>
      <c r="J40" s="144"/>
      <c r="K40" s="144"/>
      <c r="L40" s="144"/>
      <c r="M40" s="130"/>
      <c r="N40" s="286">
        <f>D40</f>
        <v>30</v>
      </c>
      <c r="O40" s="286"/>
      <c r="P40" s="286"/>
      <c r="Q40" s="286"/>
      <c r="R40" s="286"/>
      <c r="S40" s="145" t="s">
        <v>237</v>
      </c>
      <c r="T40" s="146" t="s">
        <v>60</v>
      </c>
      <c r="U40" s="143">
        <f>N40</f>
        <v>30</v>
      </c>
      <c r="V40" s="128" t="s">
        <v>11</v>
      </c>
    </row>
    <row r="41" spans="1:22" s="46" customFormat="1" x14ac:dyDescent="0.2">
      <c r="A41" s="281"/>
      <c r="B41" s="284"/>
      <c r="C41" s="281"/>
      <c r="D41" s="139"/>
      <c r="E41" s="148"/>
      <c r="F41" s="148"/>
      <c r="G41" s="148"/>
      <c r="H41" s="148"/>
      <c r="I41" s="148"/>
      <c r="J41" s="148"/>
      <c r="K41" s="148"/>
      <c r="L41" s="148"/>
      <c r="M41" s="148"/>
      <c r="N41" s="287"/>
      <c r="O41" s="287"/>
      <c r="P41" s="287"/>
      <c r="Q41" s="287"/>
      <c r="R41" s="287"/>
      <c r="S41" s="145" t="s">
        <v>239</v>
      </c>
      <c r="T41" s="146" t="s">
        <v>60</v>
      </c>
      <c r="U41" s="143">
        <f>U40</f>
        <v>30</v>
      </c>
      <c r="V41" s="128" t="s">
        <v>11</v>
      </c>
    </row>
    <row r="42" spans="1:22" s="46" customFormat="1" x14ac:dyDescent="0.2">
      <c r="A42" s="282"/>
      <c r="B42" s="285"/>
      <c r="C42" s="282"/>
      <c r="D42" s="139"/>
      <c r="E42" s="148"/>
      <c r="F42" s="148"/>
      <c r="G42" s="148"/>
      <c r="H42" s="148"/>
      <c r="I42" s="148"/>
      <c r="J42" s="148"/>
      <c r="K42" s="148"/>
      <c r="L42" s="148"/>
      <c r="M42" s="148"/>
      <c r="N42" s="288"/>
      <c r="O42" s="288"/>
      <c r="P42" s="288"/>
      <c r="Q42" s="288"/>
      <c r="R42" s="288"/>
      <c r="S42" s="26" t="s">
        <v>139</v>
      </c>
      <c r="T42" s="138" t="s">
        <v>55</v>
      </c>
      <c r="U42" s="139">
        <v>3</v>
      </c>
      <c r="V42" s="128" t="s">
        <v>11</v>
      </c>
    </row>
    <row r="43" spans="1:22" s="46" customFormat="1" ht="25.5" x14ac:dyDescent="0.2">
      <c r="A43" s="147" t="s">
        <v>47</v>
      </c>
      <c r="B43" s="145" t="s">
        <v>240</v>
      </c>
      <c r="C43" s="147" t="s">
        <v>55</v>
      </c>
      <c r="D43" s="143">
        <v>2</v>
      </c>
      <c r="E43" s="143"/>
      <c r="F43" s="143"/>
      <c r="G43" s="143"/>
      <c r="H43" s="143"/>
      <c r="I43" s="144"/>
      <c r="J43" s="144"/>
      <c r="K43" s="144"/>
      <c r="L43" s="144"/>
      <c r="M43" s="148"/>
      <c r="N43" s="130">
        <v>3</v>
      </c>
      <c r="O43" s="149"/>
      <c r="P43" s="150"/>
      <c r="Q43" s="139"/>
      <c r="R43" s="131"/>
      <c r="S43" s="145" t="s">
        <v>241</v>
      </c>
      <c r="T43" s="146" t="s">
        <v>55</v>
      </c>
      <c r="U43" s="143">
        <v>3</v>
      </c>
      <c r="V43" s="128" t="s">
        <v>11</v>
      </c>
    </row>
    <row r="44" spans="1:22" ht="38.25" x14ac:dyDescent="0.2">
      <c r="A44" s="19" t="s">
        <v>209</v>
      </c>
      <c r="B44" s="22" t="s">
        <v>62</v>
      </c>
      <c r="C44" s="129" t="s">
        <v>5</v>
      </c>
      <c r="D44" s="130">
        <v>1</v>
      </c>
      <c r="E44" s="130"/>
      <c r="F44" s="130"/>
      <c r="G44" s="130"/>
      <c r="H44" s="130">
        <f>SUM(D44:G44)</f>
        <v>1</v>
      </c>
      <c r="I44" s="130"/>
      <c r="J44" s="130"/>
      <c r="K44" s="130"/>
      <c r="L44" s="130"/>
      <c r="M44" s="130">
        <f>SUM(I44:L44)</f>
        <v>0</v>
      </c>
      <c r="N44" s="130">
        <f>H44-M44</f>
        <v>1</v>
      </c>
      <c r="O44" s="24"/>
      <c r="P44" s="129"/>
      <c r="Q44" s="129"/>
      <c r="R44" s="129"/>
      <c r="S44" s="24" t="s">
        <v>248</v>
      </c>
      <c r="T44" s="129" t="s">
        <v>5</v>
      </c>
      <c r="U44" s="130">
        <v>1</v>
      </c>
      <c r="V44" s="70" t="s">
        <v>11</v>
      </c>
    </row>
    <row r="45" spans="1:22" ht="25.5" customHeight="1" x14ac:dyDescent="0.2">
      <c r="A45" s="192" t="s">
        <v>48</v>
      </c>
      <c r="B45" s="187" t="s">
        <v>65</v>
      </c>
      <c r="C45" s="220" t="s">
        <v>20</v>
      </c>
      <c r="D45" s="200">
        <f>10</f>
        <v>10</v>
      </c>
      <c r="E45" s="119"/>
      <c r="F45" s="200"/>
      <c r="G45" s="200"/>
      <c r="H45" s="200">
        <f>SUM(D45:G45)</f>
        <v>10</v>
      </c>
      <c r="I45" s="200"/>
      <c r="J45" s="119"/>
      <c r="K45" s="200"/>
      <c r="L45" s="200"/>
      <c r="M45" s="200">
        <f>SUM(I45:L45)</f>
        <v>0</v>
      </c>
      <c r="N45" s="200">
        <f>H45-M45</f>
        <v>10</v>
      </c>
      <c r="O45" s="200"/>
      <c r="P45" s="200"/>
      <c r="Q45" s="200"/>
      <c r="R45" s="200"/>
      <c r="S45" s="24" t="s">
        <v>64</v>
      </c>
      <c r="T45" s="129" t="s">
        <v>5</v>
      </c>
      <c r="U45" s="130">
        <f>N45*0.15</f>
        <v>1.5</v>
      </c>
      <c r="V45" s="70" t="s">
        <v>11</v>
      </c>
    </row>
    <row r="46" spans="1:22" x14ac:dyDescent="0.2">
      <c r="A46" s="194"/>
      <c r="B46" s="189"/>
      <c r="C46" s="221"/>
      <c r="D46" s="202"/>
      <c r="E46" s="123"/>
      <c r="F46" s="202"/>
      <c r="G46" s="202"/>
      <c r="H46" s="202"/>
      <c r="I46" s="202"/>
      <c r="J46" s="123"/>
      <c r="K46" s="202"/>
      <c r="L46" s="202"/>
      <c r="M46" s="202"/>
      <c r="N46" s="202"/>
      <c r="O46" s="202"/>
      <c r="P46" s="202"/>
      <c r="Q46" s="202"/>
      <c r="R46" s="202"/>
      <c r="S46" s="24" t="s">
        <v>66</v>
      </c>
      <c r="T46" s="129"/>
      <c r="U46" s="130"/>
      <c r="V46" s="45" t="s">
        <v>11</v>
      </c>
    </row>
    <row r="47" spans="1:22" ht="25.5" customHeight="1" x14ac:dyDescent="0.2">
      <c r="A47" s="124">
        <v>13</v>
      </c>
      <c r="B47" s="27" t="s">
        <v>75</v>
      </c>
      <c r="C47" s="124" t="s">
        <v>69</v>
      </c>
      <c r="D47" s="119">
        <f>0.22*0.4*1.5*2</f>
        <v>0.26400000000000001</v>
      </c>
      <c r="E47" s="119"/>
      <c r="F47" s="119"/>
      <c r="G47" s="119"/>
      <c r="H47" s="130">
        <f>SUM(D47:G47)</f>
        <v>0.26400000000000001</v>
      </c>
      <c r="I47" s="148"/>
      <c r="J47" s="148"/>
      <c r="K47" s="130"/>
      <c r="L47" s="130"/>
      <c r="M47" s="130">
        <f>SUM(I47:L47)</f>
        <v>0</v>
      </c>
      <c r="N47" s="130">
        <f>H47-M47</f>
        <v>0.26400000000000001</v>
      </c>
      <c r="O47" s="132" t="s">
        <v>68</v>
      </c>
      <c r="P47" s="133" t="s">
        <v>69</v>
      </c>
      <c r="Q47" s="130">
        <f>N47</f>
        <v>0.26400000000000001</v>
      </c>
      <c r="R47" s="19" t="s">
        <v>13</v>
      </c>
      <c r="S47" s="24"/>
      <c r="T47" s="129"/>
      <c r="U47" s="130"/>
      <c r="V47" s="45" t="s">
        <v>11</v>
      </c>
    </row>
    <row r="48" spans="1:22" ht="25.5" x14ac:dyDescent="0.2">
      <c r="A48" s="182">
        <v>14</v>
      </c>
      <c r="B48" s="180" t="s">
        <v>74</v>
      </c>
      <c r="C48" s="182" t="s">
        <v>70</v>
      </c>
      <c r="D48" s="200">
        <f>0.08</f>
        <v>0.08</v>
      </c>
      <c r="E48" s="119"/>
      <c r="F48" s="182"/>
      <c r="G48" s="182"/>
      <c r="H48" s="219">
        <f>SUM(D48:G52)</f>
        <v>0.08</v>
      </c>
      <c r="I48" s="173"/>
      <c r="J48" s="173"/>
      <c r="K48" s="173"/>
      <c r="L48" s="182"/>
      <c r="M48" s="182"/>
      <c r="N48" s="200">
        <f>H48-M48</f>
        <v>0.08</v>
      </c>
      <c r="O48" s="182"/>
      <c r="P48" s="182"/>
      <c r="Q48" s="182"/>
      <c r="R48" s="182"/>
      <c r="S48" s="27" t="s">
        <v>76</v>
      </c>
      <c r="T48" s="130" t="s">
        <v>70</v>
      </c>
      <c r="U48" s="61">
        <f>6.4*12.3/1000</f>
        <v>7.8720000000000012E-2</v>
      </c>
      <c r="V48" s="131" t="s">
        <v>11</v>
      </c>
    </row>
    <row r="49" spans="1:22" ht="25.5" customHeight="1" x14ac:dyDescent="0.2">
      <c r="A49" s="183"/>
      <c r="B49" s="181"/>
      <c r="C49" s="183"/>
      <c r="D49" s="201"/>
      <c r="E49" s="120"/>
      <c r="F49" s="183"/>
      <c r="G49" s="183"/>
      <c r="H49" s="219"/>
      <c r="I49" s="173"/>
      <c r="J49" s="173"/>
      <c r="K49" s="173"/>
      <c r="L49" s="183"/>
      <c r="M49" s="183"/>
      <c r="N49" s="183"/>
      <c r="O49" s="183"/>
      <c r="P49" s="183"/>
      <c r="Q49" s="183"/>
      <c r="R49" s="183"/>
      <c r="S49" s="27" t="s">
        <v>195</v>
      </c>
      <c r="T49" s="130" t="s">
        <v>70</v>
      </c>
      <c r="U49" s="61">
        <f>23.55* 0.15*0.35*8/1000</f>
        <v>9.8910000000000005E-3</v>
      </c>
      <c r="V49" s="131" t="s">
        <v>11</v>
      </c>
    </row>
    <row r="50" spans="1:22" ht="21" customHeight="1" x14ac:dyDescent="0.2">
      <c r="A50" s="183"/>
      <c r="B50" s="181"/>
      <c r="C50" s="183"/>
      <c r="D50" s="201"/>
      <c r="E50" s="120"/>
      <c r="F50" s="183"/>
      <c r="G50" s="183"/>
      <c r="H50" s="219"/>
      <c r="I50" s="173"/>
      <c r="J50" s="173"/>
      <c r="K50" s="173"/>
      <c r="L50" s="183"/>
      <c r="M50" s="183"/>
      <c r="N50" s="183"/>
      <c r="O50" s="183"/>
      <c r="P50" s="183"/>
      <c r="Q50" s="183"/>
      <c r="R50" s="183"/>
      <c r="S50" s="27" t="s">
        <v>71</v>
      </c>
      <c r="T50" s="130" t="s">
        <v>55</v>
      </c>
      <c r="U50" s="54">
        <v>10</v>
      </c>
      <c r="V50" s="131" t="s">
        <v>11</v>
      </c>
    </row>
    <row r="51" spans="1:22" ht="15" x14ac:dyDescent="0.2">
      <c r="A51" s="183"/>
      <c r="B51" s="181"/>
      <c r="C51" s="183"/>
      <c r="D51" s="201"/>
      <c r="E51" s="120"/>
      <c r="F51" s="183"/>
      <c r="G51" s="183"/>
      <c r="H51" s="219"/>
      <c r="I51" s="173"/>
      <c r="J51" s="173"/>
      <c r="K51" s="173"/>
      <c r="L51" s="183"/>
      <c r="M51" s="183"/>
      <c r="N51" s="183"/>
      <c r="O51" s="183"/>
      <c r="P51" s="183"/>
      <c r="Q51" s="183"/>
      <c r="R51" s="183"/>
      <c r="S51" s="27" t="s">
        <v>72</v>
      </c>
      <c r="T51" s="130" t="s">
        <v>55</v>
      </c>
      <c r="U51" s="54">
        <v>20</v>
      </c>
      <c r="V51" s="131" t="s">
        <v>11</v>
      </c>
    </row>
    <row r="52" spans="1:22" ht="15" x14ac:dyDescent="0.2">
      <c r="A52" s="190"/>
      <c r="B52" s="203"/>
      <c r="C52" s="190"/>
      <c r="D52" s="202"/>
      <c r="E52" s="123"/>
      <c r="F52" s="190"/>
      <c r="G52" s="190"/>
      <c r="H52" s="219"/>
      <c r="I52" s="173"/>
      <c r="J52" s="173"/>
      <c r="K52" s="173"/>
      <c r="L52" s="190"/>
      <c r="M52" s="190"/>
      <c r="N52" s="190"/>
      <c r="O52" s="190"/>
      <c r="P52" s="190"/>
      <c r="Q52" s="190"/>
      <c r="R52" s="190"/>
      <c r="S52" s="27" t="s">
        <v>73</v>
      </c>
      <c r="T52" s="130" t="s">
        <v>55</v>
      </c>
      <c r="U52" s="54">
        <v>20</v>
      </c>
      <c r="V52" s="131" t="s">
        <v>11</v>
      </c>
    </row>
    <row r="53" spans="1:22" ht="15" x14ac:dyDescent="0.2">
      <c r="A53" s="173">
        <v>15</v>
      </c>
      <c r="B53" s="180" t="s">
        <v>153</v>
      </c>
      <c r="C53" s="182" t="s">
        <v>5</v>
      </c>
      <c r="D53" s="200">
        <f>2*0.5*4</f>
        <v>4</v>
      </c>
      <c r="E53" s="200"/>
      <c r="F53" s="200"/>
      <c r="G53" s="200"/>
      <c r="H53" s="200">
        <f>SUM(D53:G53)</f>
        <v>4</v>
      </c>
      <c r="I53" s="200"/>
      <c r="J53" s="200"/>
      <c r="K53" s="200"/>
      <c r="L53" s="200"/>
      <c r="M53" s="200"/>
      <c r="N53" s="200">
        <f>H53-M53</f>
        <v>4</v>
      </c>
      <c r="O53" s="200"/>
      <c r="P53" s="200"/>
      <c r="Q53" s="200"/>
      <c r="R53" s="200"/>
      <c r="S53" s="27" t="s">
        <v>249</v>
      </c>
      <c r="T53" s="130" t="s">
        <v>70</v>
      </c>
      <c r="U53" s="54">
        <v>7.1999999999999995E-2</v>
      </c>
      <c r="V53" s="131" t="s">
        <v>11</v>
      </c>
    </row>
    <row r="54" spans="1:22" ht="25.5" x14ac:dyDescent="0.2">
      <c r="A54" s="173"/>
      <c r="B54" s="203"/>
      <c r="C54" s="190"/>
      <c r="D54" s="202"/>
      <c r="E54" s="202"/>
      <c r="F54" s="202"/>
      <c r="G54" s="202"/>
      <c r="H54" s="202">
        <f>SUM(D54:G54)</f>
        <v>0</v>
      </c>
      <c r="I54" s="202"/>
      <c r="J54" s="202"/>
      <c r="K54" s="202"/>
      <c r="L54" s="202"/>
      <c r="M54" s="202"/>
      <c r="N54" s="202">
        <f>H54+M54</f>
        <v>0</v>
      </c>
      <c r="O54" s="202"/>
      <c r="P54" s="202"/>
      <c r="Q54" s="202"/>
      <c r="R54" s="202"/>
      <c r="S54" s="27" t="s">
        <v>152</v>
      </c>
      <c r="T54" s="130" t="s">
        <v>12</v>
      </c>
      <c r="U54" s="130">
        <f>2.66*D53</f>
        <v>10.64</v>
      </c>
      <c r="V54" s="131" t="s">
        <v>11</v>
      </c>
    </row>
    <row r="55" spans="1:22" x14ac:dyDescent="0.2">
      <c r="A55" s="131">
        <v>16</v>
      </c>
      <c r="B55" s="27" t="s">
        <v>81</v>
      </c>
      <c r="C55" s="124" t="s">
        <v>5</v>
      </c>
      <c r="D55" s="119">
        <f>0.9*2.1*2</f>
        <v>3.7800000000000002</v>
      </c>
      <c r="E55" s="119"/>
      <c r="F55" s="119"/>
      <c r="G55" s="119"/>
      <c r="H55" s="130">
        <f>SUM(D55:G55)</f>
        <v>3.7800000000000002</v>
      </c>
      <c r="I55" s="148"/>
      <c r="J55" s="130"/>
      <c r="K55" s="130"/>
      <c r="L55" s="130"/>
      <c r="M55" s="130"/>
      <c r="N55" s="130">
        <f>H55-M55</f>
        <v>3.7800000000000002</v>
      </c>
      <c r="O55" s="130"/>
      <c r="P55" s="144"/>
      <c r="Q55" s="148"/>
      <c r="R55" s="148"/>
      <c r="S55" s="26" t="s">
        <v>82</v>
      </c>
      <c r="T55" s="133" t="s">
        <v>55</v>
      </c>
      <c r="U55" s="130">
        <v>2</v>
      </c>
      <c r="V55" s="68" t="s">
        <v>80</v>
      </c>
    </row>
    <row r="56" spans="1:22" ht="15" x14ac:dyDescent="0.2">
      <c r="A56" s="131">
        <v>17</v>
      </c>
      <c r="B56" s="26" t="s">
        <v>79</v>
      </c>
      <c r="C56" s="131" t="s">
        <v>5</v>
      </c>
      <c r="D56" s="130">
        <v>2</v>
      </c>
      <c r="E56" s="130"/>
      <c r="F56" s="131"/>
      <c r="G56" s="131"/>
      <c r="H56" s="119">
        <f>SUM(D56:G56)</f>
        <v>2</v>
      </c>
      <c r="I56" s="131"/>
      <c r="J56" s="131"/>
      <c r="K56" s="131"/>
      <c r="L56" s="131"/>
      <c r="M56" s="131"/>
      <c r="N56" s="119">
        <f>H56-M56</f>
        <v>2</v>
      </c>
      <c r="O56" s="131"/>
      <c r="P56" s="131"/>
      <c r="Q56" s="131"/>
      <c r="R56" s="131"/>
      <c r="S56" s="27" t="s">
        <v>248</v>
      </c>
      <c r="T56" s="130" t="s">
        <v>5</v>
      </c>
      <c r="U56" s="54">
        <f>N56</f>
        <v>2</v>
      </c>
      <c r="V56" s="131" t="s">
        <v>11</v>
      </c>
    </row>
    <row r="57" spans="1:22" ht="15" x14ac:dyDescent="0.2">
      <c r="A57" s="218" t="s">
        <v>242</v>
      </c>
      <c r="B57" s="180" t="s">
        <v>91</v>
      </c>
      <c r="C57" s="182" t="s">
        <v>5</v>
      </c>
      <c r="D57" s="200">
        <f>30.8+14+13.4</f>
        <v>58.199999999999996</v>
      </c>
      <c r="E57" s="200"/>
      <c r="F57" s="200"/>
      <c r="G57" s="200"/>
      <c r="H57" s="200">
        <f t="shared" ref="H57" si="11">SUM(D57:G57)</f>
        <v>58.199999999999996</v>
      </c>
      <c r="I57" s="200"/>
      <c r="J57" s="200"/>
      <c r="K57" s="200"/>
      <c r="L57" s="200"/>
      <c r="M57" s="200"/>
      <c r="N57" s="200">
        <f>H57-M57</f>
        <v>58.199999999999996</v>
      </c>
      <c r="O57" s="222"/>
      <c r="P57" s="222"/>
      <c r="Q57" s="222"/>
      <c r="R57" s="222"/>
      <c r="S57" s="27" t="s">
        <v>87</v>
      </c>
      <c r="T57" s="131" t="s">
        <v>88</v>
      </c>
      <c r="U57" s="54">
        <f>N57*0.016</f>
        <v>0.93119999999999992</v>
      </c>
      <c r="V57" s="131" t="s">
        <v>11</v>
      </c>
    </row>
    <row r="58" spans="1:22" ht="15" x14ac:dyDescent="0.2">
      <c r="A58" s="218"/>
      <c r="B58" s="203"/>
      <c r="C58" s="190"/>
      <c r="D58" s="202"/>
      <c r="E58" s="202"/>
      <c r="F58" s="202"/>
      <c r="G58" s="202"/>
      <c r="H58" s="202"/>
      <c r="I58" s="202"/>
      <c r="J58" s="202"/>
      <c r="K58" s="202"/>
      <c r="L58" s="202"/>
      <c r="M58" s="202"/>
      <c r="N58" s="202"/>
      <c r="O58" s="222"/>
      <c r="P58" s="222"/>
      <c r="Q58" s="222"/>
      <c r="R58" s="222"/>
      <c r="S58" s="27" t="s">
        <v>89</v>
      </c>
      <c r="T58" s="130" t="s">
        <v>90</v>
      </c>
      <c r="U58" s="54">
        <v>64</v>
      </c>
      <c r="V58" s="131" t="s">
        <v>11</v>
      </c>
    </row>
    <row r="59" spans="1:22" ht="15" x14ac:dyDescent="0.2">
      <c r="A59" s="131">
        <v>19</v>
      </c>
      <c r="B59" s="27" t="s">
        <v>92</v>
      </c>
      <c r="C59" s="131" t="s">
        <v>5</v>
      </c>
      <c r="D59" s="130">
        <f>U58*2+56</f>
        <v>184</v>
      </c>
      <c r="E59" s="130">
        <v>170</v>
      </c>
      <c r="F59" s="130"/>
      <c r="G59" s="130"/>
      <c r="H59" s="130">
        <f>SUM(E59:G59)</f>
        <v>170</v>
      </c>
      <c r="I59" s="130"/>
      <c r="J59" s="130"/>
      <c r="K59" s="130"/>
      <c r="L59" s="130"/>
      <c r="M59" s="130"/>
      <c r="N59" s="130">
        <f>H59-M59</f>
        <v>170</v>
      </c>
      <c r="O59" s="19"/>
      <c r="P59" s="19"/>
      <c r="Q59" s="130"/>
      <c r="R59" s="19"/>
      <c r="S59" s="27" t="s">
        <v>93</v>
      </c>
      <c r="T59" s="130" t="s">
        <v>12</v>
      </c>
      <c r="U59" s="54">
        <v>17</v>
      </c>
      <c r="V59" s="131" t="s">
        <v>11</v>
      </c>
    </row>
    <row r="60" spans="1:22" ht="15" x14ac:dyDescent="0.2">
      <c r="A60" s="182">
        <v>20</v>
      </c>
      <c r="B60" s="180" t="s">
        <v>222</v>
      </c>
      <c r="C60" s="182" t="s">
        <v>5</v>
      </c>
      <c r="D60" s="200">
        <f>(5.83*2+4.25*2+2.35)*0.13</f>
        <v>2.9263000000000003</v>
      </c>
      <c r="E60" s="200"/>
      <c r="F60" s="200"/>
      <c r="G60" s="200"/>
      <c r="H60" s="200">
        <f t="shared" ref="H60:H68" si="12">SUM(D60:G60)</f>
        <v>2.9263000000000003</v>
      </c>
      <c r="I60" s="200"/>
      <c r="J60" s="200"/>
      <c r="K60" s="200"/>
      <c r="L60" s="200"/>
      <c r="M60" s="200"/>
      <c r="N60" s="200">
        <f>H60-M60</f>
        <v>2.9263000000000003</v>
      </c>
      <c r="O60" s="200"/>
      <c r="P60" s="200"/>
      <c r="Q60" s="200"/>
      <c r="R60" s="200"/>
      <c r="S60" s="27" t="s">
        <v>94</v>
      </c>
      <c r="T60" s="130" t="s">
        <v>5</v>
      </c>
      <c r="U60" s="54">
        <f>U61</f>
        <v>2.9263000000000003</v>
      </c>
      <c r="V60" s="131" t="s">
        <v>11</v>
      </c>
    </row>
    <row r="61" spans="1:22" ht="15" x14ac:dyDescent="0.2">
      <c r="A61" s="183"/>
      <c r="B61" s="181"/>
      <c r="C61" s="183"/>
      <c r="D61" s="201"/>
      <c r="E61" s="201"/>
      <c r="F61" s="201"/>
      <c r="G61" s="201"/>
      <c r="H61" s="201"/>
      <c r="I61" s="201"/>
      <c r="J61" s="201"/>
      <c r="K61" s="201"/>
      <c r="L61" s="201"/>
      <c r="M61" s="201"/>
      <c r="N61" s="201"/>
      <c r="O61" s="202"/>
      <c r="P61" s="202"/>
      <c r="Q61" s="202"/>
      <c r="R61" s="202"/>
      <c r="S61" s="27" t="s">
        <v>95</v>
      </c>
      <c r="T61" s="130" t="s">
        <v>5</v>
      </c>
      <c r="U61" s="54">
        <f>D60</f>
        <v>2.9263000000000003</v>
      </c>
      <c r="V61" s="131" t="s">
        <v>11</v>
      </c>
    </row>
    <row r="62" spans="1:22" ht="25.5" x14ac:dyDescent="0.2">
      <c r="A62" s="124">
        <v>21</v>
      </c>
      <c r="B62" s="27" t="s">
        <v>96</v>
      </c>
      <c r="C62" s="124" t="s">
        <v>5</v>
      </c>
      <c r="D62" s="119">
        <f>D57</f>
        <v>58.199999999999996</v>
      </c>
      <c r="E62" s="119"/>
      <c r="F62" s="119"/>
      <c r="G62" s="119"/>
      <c r="H62" s="130">
        <f t="shared" si="12"/>
        <v>58.199999999999996</v>
      </c>
      <c r="I62" s="130"/>
      <c r="J62" s="130"/>
      <c r="K62" s="130"/>
      <c r="L62" s="130"/>
      <c r="M62" s="130"/>
      <c r="N62" s="130">
        <f>H62-M62</f>
        <v>58.199999999999996</v>
      </c>
      <c r="O62" s="133"/>
      <c r="P62" s="133"/>
      <c r="Q62" s="123"/>
      <c r="R62" s="133"/>
      <c r="S62" s="27" t="s">
        <v>97</v>
      </c>
      <c r="T62" s="131" t="s">
        <v>50</v>
      </c>
      <c r="U62" s="54">
        <f t="shared" ref="U62:U63" si="13">N62</f>
        <v>58.199999999999996</v>
      </c>
      <c r="V62" s="131" t="s">
        <v>11</v>
      </c>
    </row>
    <row r="63" spans="1:22" ht="25.5" x14ac:dyDescent="0.2">
      <c r="A63" s="124">
        <v>22</v>
      </c>
      <c r="B63" s="27" t="s">
        <v>98</v>
      </c>
      <c r="C63" s="124" t="s">
        <v>99</v>
      </c>
      <c r="D63" s="119">
        <f>(5.83*2+7+2.305*2)</f>
        <v>23.27</v>
      </c>
      <c r="E63" s="119">
        <f>5.83*2+2.355*4</f>
        <v>21.08</v>
      </c>
      <c r="F63" s="119"/>
      <c r="G63" s="119"/>
      <c r="H63" s="130">
        <f>SUM(D63:G63)</f>
        <v>44.349999999999994</v>
      </c>
      <c r="I63" s="130">
        <f>0.9*2</f>
        <v>1.8</v>
      </c>
      <c r="J63" s="130"/>
      <c r="K63" s="130"/>
      <c r="L63" s="130"/>
      <c r="M63" s="130">
        <f>SUM(I63:L63)</f>
        <v>1.8</v>
      </c>
      <c r="N63" s="130">
        <f>H63-M63</f>
        <v>42.55</v>
      </c>
      <c r="O63" s="133"/>
      <c r="P63" s="133"/>
      <c r="Q63" s="130"/>
      <c r="R63" s="133"/>
      <c r="S63" s="27" t="s">
        <v>100</v>
      </c>
      <c r="T63" s="131" t="s">
        <v>60</v>
      </c>
      <c r="U63" s="54">
        <f t="shared" si="13"/>
        <v>42.55</v>
      </c>
      <c r="V63" s="131" t="s">
        <v>11</v>
      </c>
    </row>
    <row r="64" spans="1:22" ht="38.25" x14ac:dyDescent="0.2">
      <c r="A64" s="124">
        <v>23</v>
      </c>
      <c r="B64" s="27" t="s">
        <v>101</v>
      </c>
      <c r="C64" s="131" t="s">
        <v>23</v>
      </c>
      <c r="D64" s="119">
        <f>(5.83*2+4.25*2+2.35)</f>
        <v>22.51</v>
      </c>
      <c r="E64" s="130"/>
      <c r="F64" s="130"/>
      <c r="G64" s="130"/>
      <c r="H64" s="130">
        <f>SUM(D64:G64)</f>
        <v>22.51</v>
      </c>
      <c r="I64" s="130"/>
      <c r="J64" s="130"/>
      <c r="K64" s="130"/>
      <c r="L64" s="130"/>
      <c r="M64" s="130">
        <f>SUM(I64:L64)</f>
        <v>0</v>
      </c>
      <c r="N64" s="130">
        <f>H64-M64</f>
        <v>22.51</v>
      </c>
      <c r="O64" s="133"/>
      <c r="P64" s="133"/>
      <c r="Q64" s="130"/>
      <c r="R64" s="133"/>
      <c r="S64" s="27" t="s">
        <v>250</v>
      </c>
      <c r="T64" s="131" t="s">
        <v>60</v>
      </c>
      <c r="U64" s="54">
        <f>N64*1.1</f>
        <v>24.761000000000003</v>
      </c>
      <c r="V64" s="131" t="s">
        <v>11</v>
      </c>
    </row>
    <row r="65" spans="1:22" ht="15" x14ac:dyDescent="0.2">
      <c r="A65" s="182">
        <v>24</v>
      </c>
      <c r="B65" s="180" t="s">
        <v>225</v>
      </c>
      <c r="C65" s="182" t="s">
        <v>5</v>
      </c>
      <c r="D65" s="200">
        <f>(6.9+5.83)*2*2.75</f>
        <v>70.015000000000001</v>
      </c>
      <c r="E65" s="200">
        <f>(7.01+5.83)*2*2.75</f>
        <v>70.62</v>
      </c>
      <c r="F65" s="200">
        <f>(5.8+13.1)*2*2.9</f>
        <v>109.61999999999999</v>
      </c>
      <c r="G65" s="200">
        <f>5.83*2.7*2</f>
        <v>31.482000000000003</v>
      </c>
      <c r="H65" s="200">
        <f>SUM(D65:G65)</f>
        <v>281.73700000000002</v>
      </c>
      <c r="I65" s="200">
        <f>0.9*2.1*4+2.32*1.7*2+0.88*1.7*4+1.53*1.75*2</f>
        <v>26.787000000000003</v>
      </c>
      <c r="J65" s="200">
        <f>(0.9*2.1+1.5*2.1*3)+(1.5*1.7*4)</f>
        <v>21.54</v>
      </c>
      <c r="K65" s="200"/>
      <c r="L65" s="200"/>
      <c r="M65" s="200">
        <f t="shared" ref="M65" si="14">SUM(I65:L65)</f>
        <v>48.326999999999998</v>
      </c>
      <c r="N65" s="200">
        <f t="shared" ref="N65" si="15">H65-M65</f>
        <v>233.41000000000003</v>
      </c>
      <c r="O65" s="200" t="s">
        <v>102</v>
      </c>
      <c r="P65" s="182" t="s">
        <v>5</v>
      </c>
      <c r="Q65" s="223">
        <f>N65</f>
        <v>233.41000000000003</v>
      </c>
      <c r="R65" s="200" t="s">
        <v>57</v>
      </c>
      <c r="S65" s="27" t="s">
        <v>102</v>
      </c>
      <c r="T65" s="131" t="s">
        <v>5</v>
      </c>
      <c r="U65" s="54">
        <f>N65</f>
        <v>233.41000000000003</v>
      </c>
      <c r="V65" s="131" t="s">
        <v>11</v>
      </c>
    </row>
    <row r="66" spans="1:22" ht="25.5" x14ac:dyDescent="0.2">
      <c r="A66" s="190"/>
      <c r="B66" s="203"/>
      <c r="C66" s="190"/>
      <c r="D66" s="202"/>
      <c r="E66" s="202"/>
      <c r="F66" s="202"/>
      <c r="G66" s="202"/>
      <c r="H66" s="202"/>
      <c r="I66" s="202"/>
      <c r="J66" s="202"/>
      <c r="K66" s="202"/>
      <c r="L66" s="202"/>
      <c r="M66" s="202"/>
      <c r="N66" s="202"/>
      <c r="O66" s="202"/>
      <c r="P66" s="190"/>
      <c r="Q66" s="224"/>
      <c r="R66" s="202"/>
      <c r="S66" s="27" t="s">
        <v>103</v>
      </c>
      <c r="T66" s="131" t="s">
        <v>70</v>
      </c>
      <c r="U66" s="54">
        <v>7.0000000000000007E-2</v>
      </c>
      <c r="V66" s="131" t="s">
        <v>11</v>
      </c>
    </row>
    <row r="67" spans="1:22" ht="15" x14ac:dyDescent="0.2">
      <c r="A67" s="25">
        <v>25</v>
      </c>
      <c r="B67" s="26" t="s">
        <v>104</v>
      </c>
      <c r="C67" s="25" t="s">
        <v>22</v>
      </c>
      <c r="D67" s="48">
        <v>5</v>
      </c>
      <c r="E67" s="38"/>
      <c r="F67" s="38"/>
      <c r="G67" s="38"/>
      <c r="H67" s="73">
        <f t="shared" si="12"/>
        <v>5</v>
      </c>
      <c r="I67" s="38"/>
      <c r="J67" s="38"/>
      <c r="K67" s="38"/>
      <c r="L67" s="39"/>
      <c r="M67" s="39">
        <f>SUM(I67:L67)</f>
        <v>0</v>
      </c>
      <c r="N67" s="39">
        <f>H67-M67</f>
        <v>5</v>
      </c>
      <c r="O67" s="63"/>
      <c r="P67" s="63"/>
      <c r="Q67" s="63"/>
      <c r="R67" s="63"/>
      <c r="S67" s="58" t="s">
        <v>105</v>
      </c>
      <c r="T67" s="39" t="s">
        <v>55</v>
      </c>
      <c r="U67" s="54">
        <f>N67</f>
        <v>5</v>
      </c>
      <c r="V67" s="40" t="s">
        <v>11</v>
      </c>
    </row>
    <row r="68" spans="1:22" ht="25.5" x14ac:dyDescent="0.2">
      <c r="A68" s="182">
        <v>26</v>
      </c>
      <c r="B68" s="180" t="s">
        <v>106</v>
      </c>
      <c r="C68" s="182" t="s">
        <v>22</v>
      </c>
      <c r="D68" s="200">
        <v>6</v>
      </c>
      <c r="E68" s="200"/>
      <c r="F68" s="200"/>
      <c r="G68" s="200"/>
      <c r="H68" s="200">
        <f t="shared" si="12"/>
        <v>6</v>
      </c>
      <c r="I68" s="200"/>
      <c r="J68" s="200"/>
      <c r="K68" s="200"/>
      <c r="L68" s="200"/>
      <c r="M68" s="200">
        <f>SUM(I68:L68)</f>
        <v>0</v>
      </c>
      <c r="N68" s="200">
        <f>H68-M68</f>
        <v>6</v>
      </c>
      <c r="O68" s="182"/>
      <c r="P68" s="182"/>
      <c r="Q68" s="182"/>
      <c r="R68" s="182"/>
      <c r="S68" s="58" t="s">
        <v>107</v>
      </c>
      <c r="T68" s="39" t="s">
        <v>55</v>
      </c>
      <c r="U68" s="54">
        <v>2</v>
      </c>
      <c r="V68" s="40" t="s">
        <v>11</v>
      </c>
    </row>
    <row r="69" spans="1:22" ht="25.5" x14ac:dyDescent="0.2">
      <c r="A69" s="190"/>
      <c r="B69" s="203"/>
      <c r="C69" s="190"/>
      <c r="D69" s="202"/>
      <c r="E69" s="202"/>
      <c r="F69" s="202"/>
      <c r="G69" s="202"/>
      <c r="H69" s="202"/>
      <c r="I69" s="202"/>
      <c r="J69" s="202"/>
      <c r="K69" s="202"/>
      <c r="L69" s="202"/>
      <c r="M69" s="202"/>
      <c r="N69" s="202"/>
      <c r="O69" s="190"/>
      <c r="P69" s="190"/>
      <c r="Q69" s="190"/>
      <c r="R69" s="190"/>
      <c r="S69" s="58" t="s">
        <v>108</v>
      </c>
      <c r="T69" s="39" t="s">
        <v>55</v>
      </c>
      <c r="U69" s="54">
        <v>4</v>
      </c>
      <c r="V69" s="40" t="s">
        <v>11</v>
      </c>
    </row>
    <row r="70" spans="1:22" x14ac:dyDescent="0.2">
      <c r="A70" s="21" t="s">
        <v>243</v>
      </c>
      <c r="B70" s="42" t="s">
        <v>254</v>
      </c>
      <c r="C70" s="21" t="s">
        <v>5</v>
      </c>
      <c r="D70" s="52">
        <v>10</v>
      </c>
      <c r="E70" s="39"/>
      <c r="F70" s="39"/>
      <c r="G70" s="39"/>
      <c r="H70" s="73">
        <f t="shared" ref="H70" si="16">SUM(D70:G70)</f>
        <v>10</v>
      </c>
      <c r="I70" s="39"/>
      <c r="J70" s="39"/>
      <c r="K70" s="39"/>
      <c r="L70" s="39"/>
      <c r="M70" s="39">
        <f>SUM(I70:L70)</f>
        <v>0</v>
      </c>
      <c r="N70" s="39">
        <f>H70-M70</f>
        <v>10</v>
      </c>
      <c r="O70" s="42"/>
      <c r="P70" s="21"/>
      <c r="Q70" s="21"/>
      <c r="R70" s="21"/>
      <c r="S70" s="58" t="s">
        <v>112</v>
      </c>
      <c r="T70" s="39" t="s">
        <v>12</v>
      </c>
      <c r="U70" s="38"/>
      <c r="V70" s="70" t="s">
        <v>11</v>
      </c>
    </row>
    <row r="71" spans="1:22" ht="15" x14ac:dyDescent="0.2">
      <c r="A71" s="182">
        <v>28</v>
      </c>
      <c r="B71" s="180" t="s">
        <v>233</v>
      </c>
      <c r="C71" s="182" t="s">
        <v>5</v>
      </c>
      <c r="D71" s="200">
        <v>3.6</v>
      </c>
      <c r="E71" s="200"/>
      <c r="F71" s="200"/>
      <c r="G71" s="200"/>
      <c r="H71" s="200">
        <f t="shared" ref="H71" si="17">SUM(D71:G71)</f>
        <v>3.6</v>
      </c>
      <c r="I71" s="200"/>
      <c r="J71" s="200"/>
      <c r="K71" s="200"/>
      <c r="L71" s="200"/>
      <c r="M71" s="200">
        <f>SUM(I71:L71)</f>
        <v>0</v>
      </c>
      <c r="N71" s="200">
        <f>H71-M71</f>
        <v>3.6</v>
      </c>
      <c r="O71" s="71"/>
      <c r="P71" s="71"/>
      <c r="Q71" s="71"/>
      <c r="R71" s="71"/>
      <c r="S71" s="27" t="s">
        <v>109</v>
      </c>
      <c r="T71" s="25" t="s">
        <v>88</v>
      </c>
      <c r="U71" s="54">
        <v>0.4</v>
      </c>
      <c r="V71" s="40" t="s">
        <v>11</v>
      </c>
    </row>
    <row r="72" spans="1:22" ht="25.5" x14ac:dyDescent="0.2">
      <c r="A72" s="190"/>
      <c r="B72" s="203"/>
      <c r="C72" s="190"/>
      <c r="D72" s="202"/>
      <c r="E72" s="202"/>
      <c r="F72" s="202"/>
      <c r="G72" s="202"/>
      <c r="H72" s="202"/>
      <c r="I72" s="202"/>
      <c r="J72" s="202"/>
      <c r="K72" s="202"/>
      <c r="L72" s="202"/>
      <c r="M72" s="202"/>
      <c r="N72" s="202"/>
      <c r="O72" s="72"/>
      <c r="P72" s="72"/>
      <c r="Q72" s="72"/>
      <c r="R72" s="72"/>
      <c r="S72" s="27" t="s">
        <v>110</v>
      </c>
      <c r="T72" s="25" t="s">
        <v>70</v>
      </c>
      <c r="U72" s="61">
        <f>3.6*1.79/1000</f>
        <v>6.4440000000000001E-3</v>
      </c>
      <c r="V72" s="40" t="s">
        <v>11</v>
      </c>
    </row>
    <row r="73" spans="1:22" ht="25.5" customHeight="1" x14ac:dyDescent="0.2">
      <c r="A73" s="182">
        <v>29</v>
      </c>
      <c r="B73" s="180" t="s">
        <v>154</v>
      </c>
      <c r="C73" s="182" t="s">
        <v>5</v>
      </c>
      <c r="D73" s="200">
        <f>D71</f>
        <v>3.6</v>
      </c>
      <c r="E73" s="200"/>
      <c r="F73" s="200"/>
      <c r="G73" s="200"/>
      <c r="H73" s="200">
        <f>SUM(D73:G73)</f>
        <v>3.6</v>
      </c>
      <c r="I73" s="200"/>
      <c r="J73" s="200"/>
      <c r="K73" s="200"/>
      <c r="L73" s="200"/>
      <c r="M73" s="200">
        <f>SUM(I73:L73)</f>
        <v>0</v>
      </c>
      <c r="N73" s="200">
        <f>H73-M73</f>
        <v>3.6</v>
      </c>
      <c r="O73" s="71"/>
      <c r="P73" s="71"/>
      <c r="Q73" s="71"/>
      <c r="R73" s="71"/>
      <c r="S73" s="27" t="s">
        <v>251</v>
      </c>
      <c r="T73" s="25" t="s">
        <v>5</v>
      </c>
      <c r="U73" s="54">
        <f>N73</f>
        <v>3.6</v>
      </c>
      <c r="V73" s="40" t="s">
        <v>11</v>
      </c>
    </row>
    <row r="74" spans="1:22" ht="15" x14ac:dyDescent="0.2">
      <c r="A74" s="190"/>
      <c r="B74" s="203"/>
      <c r="C74" s="190"/>
      <c r="D74" s="202"/>
      <c r="E74" s="202"/>
      <c r="F74" s="202"/>
      <c r="G74" s="202"/>
      <c r="H74" s="202"/>
      <c r="I74" s="202"/>
      <c r="J74" s="202"/>
      <c r="K74" s="202"/>
      <c r="L74" s="202"/>
      <c r="M74" s="202"/>
      <c r="N74" s="202"/>
      <c r="O74" s="72"/>
      <c r="P74" s="72"/>
      <c r="Q74" s="72"/>
      <c r="R74" s="72"/>
      <c r="S74" s="27" t="s">
        <v>66</v>
      </c>
      <c r="T74" s="25" t="s">
        <v>12</v>
      </c>
      <c r="U74" s="61"/>
      <c r="V74" s="40" t="s">
        <v>11</v>
      </c>
    </row>
    <row r="75" spans="1:22" s="46" customFormat="1" ht="15" x14ac:dyDescent="0.2">
      <c r="A75" s="226">
        <v>30</v>
      </c>
      <c r="B75" s="228" t="s">
        <v>224</v>
      </c>
      <c r="C75" s="226" t="s">
        <v>5</v>
      </c>
      <c r="D75" s="214">
        <f>6.15*0.13</f>
        <v>0.7995000000000001</v>
      </c>
      <c r="E75" s="214"/>
      <c r="F75" s="214"/>
      <c r="G75" s="214"/>
      <c r="H75" s="214">
        <f t="shared" ref="H75" si="18">SUM(D75:G75)</f>
        <v>0.7995000000000001</v>
      </c>
      <c r="I75" s="214"/>
      <c r="J75" s="214"/>
      <c r="K75" s="214"/>
      <c r="L75" s="214"/>
      <c r="M75" s="214"/>
      <c r="N75" s="214">
        <f>H75-M75</f>
        <v>0.7995000000000001</v>
      </c>
      <c r="O75" s="214"/>
      <c r="P75" s="214"/>
      <c r="Q75" s="214"/>
      <c r="R75" s="214"/>
      <c r="S75" s="58" t="s">
        <v>111</v>
      </c>
      <c r="T75" s="39" t="s">
        <v>5</v>
      </c>
      <c r="U75" s="64">
        <f>D75</f>
        <v>0.7995000000000001</v>
      </c>
      <c r="V75" s="40" t="s">
        <v>11</v>
      </c>
    </row>
    <row r="76" spans="1:22" s="46" customFormat="1" ht="25.5" x14ac:dyDescent="0.2">
      <c r="A76" s="227"/>
      <c r="B76" s="229"/>
      <c r="C76" s="227"/>
      <c r="D76" s="225"/>
      <c r="E76" s="225"/>
      <c r="F76" s="225"/>
      <c r="G76" s="225"/>
      <c r="H76" s="225"/>
      <c r="I76" s="225"/>
      <c r="J76" s="225"/>
      <c r="K76" s="225"/>
      <c r="L76" s="225"/>
      <c r="M76" s="225"/>
      <c r="N76" s="225"/>
      <c r="O76" s="225"/>
      <c r="P76" s="225"/>
      <c r="Q76" s="225"/>
      <c r="R76" s="225"/>
      <c r="S76" s="58" t="s">
        <v>223</v>
      </c>
      <c r="T76" s="39" t="s">
        <v>23</v>
      </c>
      <c r="U76" s="64">
        <f>6.15*1.1</f>
        <v>6.7650000000000006</v>
      </c>
      <c r="V76" s="40" t="s">
        <v>11</v>
      </c>
    </row>
    <row r="77" spans="1:22" ht="25.5" x14ac:dyDescent="0.2">
      <c r="A77" s="182">
        <v>31</v>
      </c>
      <c r="B77" s="180" t="s">
        <v>234</v>
      </c>
      <c r="C77" s="182" t="s">
        <v>60</v>
      </c>
      <c r="D77" s="119">
        <v>10</v>
      </c>
      <c r="E77" s="130"/>
      <c r="F77" s="130"/>
      <c r="G77" s="130"/>
      <c r="H77" s="130"/>
      <c r="I77" s="130"/>
      <c r="J77" s="130"/>
      <c r="K77" s="130"/>
      <c r="L77" s="130"/>
      <c r="M77" s="130"/>
      <c r="N77" s="200">
        <f>SUM(D77:G78)</f>
        <v>25</v>
      </c>
      <c r="O77" s="200"/>
      <c r="P77" s="200"/>
      <c r="Q77" s="200"/>
      <c r="R77" s="200"/>
      <c r="S77" s="27" t="s">
        <v>61</v>
      </c>
      <c r="T77" s="130" t="s">
        <v>5</v>
      </c>
      <c r="U77" s="54">
        <f>D77</f>
        <v>10</v>
      </c>
      <c r="V77" s="19" t="s">
        <v>33</v>
      </c>
    </row>
    <row r="78" spans="1:22" ht="25.5" x14ac:dyDescent="0.2">
      <c r="A78" s="190"/>
      <c r="B78" s="203"/>
      <c r="C78" s="190"/>
      <c r="D78" s="119">
        <v>15</v>
      </c>
      <c r="E78" s="130"/>
      <c r="F78" s="130"/>
      <c r="G78" s="130"/>
      <c r="H78" s="130"/>
      <c r="I78" s="130"/>
      <c r="J78" s="130"/>
      <c r="K78" s="130"/>
      <c r="L78" s="130"/>
      <c r="M78" s="130"/>
      <c r="N78" s="202"/>
      <c r="O78" s="202"/>
      <c r="P78" s="202"/>
      <c r="Q78" s="202"/>
      <c r="R78" s="202"/>
      <c r="S78" s="27" t="s">
        <v>61</v>
      </c>
      <c r="T78" s="130" t="s">
        <v>5</v>
      </c>
      <c r="U78" s="54">
        <f>D78</f>
        <v>15</v>
      </c>
      <c r="V78" s="131" t="s">
        <v>11</v>
      </c>
    </row>
    <row r="79" spans="1:22" ht="15.75" x14ac:dyDescent="0.2">
      <c r="A79" s="23"/>
      <c r="B79" s="30" t="s">
        <v>115</v>
      </c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  <c r="P79" s="23"/>
      <c r="Q79" s="23"/>
      <c r="R79" s="28"/>
      <c r="S79" s="23"/>
      <c r="T79" s="23"/>
      <c r="U79" s="23"/>
      <c r="V79" s="23"/>
    </row>
    <row r="80" spans="1:22" ht="25.5" x14ac:dyDescent="0.2">
      <c r="A80" s="230" t="s">
        <v>9</v>
      </c>
      <c r="B80" s="233" t="s">
        <v>116</v>
      </c>
      <c r="C80" s="226" t="s">
        <v>60</v>
      </c>
      <c r="D80" s="77"/>
      <c r="E80" s="77">
        <f>2.5*6</f>
        <v>15</v>
      </c>
      <c r="F80" s="77"/>
      <c r="G80" s="77"/>
      <c r="H80" s="39">
        <f>SUM(D80:G80)</f>
        <v>15</v>
      </c>
      <c r="I80" s="77"/>
      <c r="J80" s="77"/>
      <c r="K80" s="77"/>
      <c r="L80" s="77"/>
      <c r="M80" s="39">
        <f>H80-L80</f>
        <v>15</v>
      </c>
      <c r="N80" s="200">
        <v>15</v>
      </c>
      <c r="O80" s="29" t="s">
        <v>117</v>
      </c>
      <c r="P80" s="19" t="s">
        <v>118</v>
      </c>
      <c r="Q80" s="130">
        <v>10</v>
      </c>
      <c r="R80" s="19" t="s">
        <v>33</v>
      </c>
      <c r="S80" s="22"/>
      <c r="T80" s="19"/>
      <c r="U80" s="130"/>
      <c r="V80" s="40" t="s">
        <v>11</v>
      </c>
    </row>
    <row r="81" spans="1:22" ht="25.5" x14ac:dyDescent="0.2">
      <c r="A81" s="231"/>
      <c r="B81" s="234"/>
      <c r="C81" s="227"/>
      <c r="D81" s="77"/>
      <c r="E81" s="77"/>
      <c r="F81" s="77"/>
      <c r="G81" s="77"/>
      <c r="H81" s="39"/>
      <c r="I81" s="77"/>
      <c r="J81" s="77"/>
      <c r="K81" s="77"/>
      <c r="L81" s="77"/>
      <c r="M81" s="39"/>
      <c r="N81" s="201"/>
      <c r="O81" s="29" t="s">
        <v>117</v>
      </c>
      <c r="P81" s="19" t="s">
        <v>118</v>
      </c>
      <c r="Q81" s="130">
        <v>5</v>
      </c>
      <c r="R81" s="19" t="s">
        <v>13</v>
      </c>
      <c r="S81" s="22"/>
      <c r="T81" s="19"/>
      <c r="U81" s="130"/>
      <c r="V81" s="40" t="s">
        <v>11</v>
      </c>
    </row>
    <row r="82" spans="1:22" ht="38.25" x14ac:dyDescent="0.2">
      <c r="A82" s="231"/>
      <c r="B82" s="234"/>
      <c r="C82" s="227"/>
      <c r="D82" s="77">
        <f>4*2*2+4*2</f>
        <v>24</v>
      </c>
      <c r="E82" s="77"/>
      <c r="F82" s="77"/>
      <c r="G82" s="77"/>
      <c r="H82" s="39">
        <f>SUM(D82:G82)</f>
        <v>24</v>
      </c>
      <c r="I82" s="77"/>
      <c r="J82" s="77"/>
      <c r="K82" s="77"/>
      <c r="L82" s="77"/>
      <c r="M82" s="39">
        <f>H82-L82</f>
        <v>24</v>
      </c>
      <c r="N82" s="201"/>
      <c r="O82" s="29" t="s">
        <v>119</v>
      </c>
      <c r="P82" s="19" t="s">
        <v>22</v>
      </c>
      <c r="Q82" s="130">
        <v>16</v>
      </c>
      <c r="R82" s="19" t="s">
        <v>33</v>
      </c>
      <c r="S82" s="22"/>
      <c r="T82" s="19"/>
      <c r="U82" s="130"/>
      <c r="V82" s="40" t="s">
        <v>11</v>
      </c>
    </row>
    <row r="83" spans="1:22" ht="38.25" x14ac:dyDescent="0.2">
      <c r="A83" s="231"/>
      <c r="B83" s="234"/>
      <c r="C83" s="227"/>
      <c r="D83" s="77"/>
      <c r="E83" s="77"/>
      <c r="F83" s="77"/>
      <c r="G83" s="77"/>
      <c r="H83" s="39"/>
      <c r="I83" s="77"/>
      <c r="J83" s="77"/>
      <c r="K83" s="77"/>
      <c r="L83" s="77"/>
      <c r="M83" s="39"/>
      <c r="N83" s="201"/>
      <c r="O83" s="29" t="s">
        <v>119</v>
      </c>
      <c r="P83" s="19" t="s">
        <v>22</v>
      </c>
      <c r="Q83" s="130">
        <v>8</v>
      </c>
      <c r="R83" s="19" t="s">
        <v>13</v>
      </c>
      <c r="S83" s="22"/>
      <c r="T83" s="19"/>
      <c r="U83" s="130"/>
      <c r="V83" s="40" t="s">
        <v>11</v>
      </c>
    </row>
    <row r="84" spans="1:22" ht="25.5" x14ac:dyDescent="0.2">
      <c r="A84" s="231"/>
      <c r="B84" s="234"/>
      <c r="C84" s="227"/>
      <c r="D84" s="77">
        <v>4</v>
      </c>
      <c r="E84" s="77"/>
      <c r="F84" s="77"/>
      <c r="G84" s="77"/>
      <c r="H84" s="39">
        <f>SUM(D84:G84)</f>
        <v>4</v>
      </c>
      <c r="I84" s="77"/>
      <c r="J84" s="77"/>
      <c r="K84" s="77"/>
      <c r="L84" s="77"/>
      <c r="M84" s="39">
        <f>H84-L84</f>
        <v>4</v>
      </c>
      <c r="N84" s="201"/>
      <c r="O84" s="87" t="s">
        <v>120</v>
      </c>
      <c r="P84" s="131" t="s">
        <v>22</v>
      </c>
      <c r="Q84" s="130">
        <f>M84</f>
        <v>4</v>
      </c>
      <c r="R84" s="19" t="s">
        <v>13</v>
      </c>
      <c r="S84" s="22"/>
      <c r="T84" s="19"/>
      <c r="U84" s="130"/>
      <c r="V84" s="40" t="s">
        <v>11</v>
      </c>
    </row>
    <row r="85" spans="1:22" ht="25.5" x14ac:dyDescent="0.2">
      <c r="A85" s="231"/>
      <c r="B85" s="234"/>
      <c r="C85" s="227"/>
      <c r="D85" s="77"/>
      <c r="E85" s="77"/>
      <c r="F85" s="77"/>
      <c r="G85" s="77"/>
      <c r="H85" s="39">
        <v>4</v>
      </c>
      <c r="I85" s="77"/>
      <c r="J85" s="77"/>
      <c r="K85" s="77"/>
      <c r="L85" s="77"/>
      <c r="M85" s="39">
        <f>H85-L85</f>
        <v>4</v>
      </c>
      <c r="N85" s="201"/>
      <c r="O85" s="87" t="s">
        <v>121</v>
      </c>
      <c r="P85" s="131" t="s">
        <v>22</v>
      </c>
      <c r="Q85" s="130">
        <f>M85</f>
        <v>4</v>
      </c>
      <c r="R85" s="19" t="s">
        <v>13</v>
      </c>
      <c r="S85" s="22"/>
      <c r="T85" s="19"/>
      <c r="U85" s="130"/>
      <c r="V85" s="40" t="s">
        <v>11</v>
      </c>
    </row>
    <row r="86" spans="1:22" ht="38.25" x14ac:dyDescent="0.2">
      <c r="A86" s="231"/>
      <c r="B86" s="234"/>
      <c r="C86" s="227"/>
      <c r="D86" s="77">
        <f>3*8</f>
        <v>24</v>
      </c>
      <c r="E86" s="77">
        <f>4*2</f>
        <v>8</v>
      </c>
      <c r="F86" s="77"/>
      <c r="G86" s="77"/>
      <c r="H86" s="39">
        <f>16</f>
        <v>16</v>
      </c>
      <c r="I86" s="77"/>
      <c r="J86" s="77"/>
      <c r="K86" s="77"/>
      <c r="L86" s="77"/>
      <c r="M86" s="39">
        <f>H86-L86</f>
        <v>16</v>
      </c>
      <c r="N86" s="201"/>
      <c r="O86" s="87" t="s">
        <v>122</v>
      </c>
      <c r="P86" s="131" t="s">
        <v>22</v>
      </c>
      <c r="Q86" s="130">
        <v>10</v>
      </c>
      <c r="R86" s="19" t="s">
        <v>33</v>
      </c>
      <c r="S86" s="22"/>
      <c r="T86" s="19"/>
      <c r="U86" s="130"/>
      <c r="V86" s="40" t="s">
        <v>11</v>
      </c>
    </row>
    <row r="87" spans="1:22" ht="38.25" x14ac:dyDescent="0.2">
      <c r="A87" s="232"/>
      <c r="B87" s="235"/>
      <c r="C87" s="236"/>
      <c r="D87" s="77"/>
      <c r="E87" s="77"/>
      <c r="F87" s="77"/>
      <c r="G87" s="77"/>
      <c r="H87" s="39"/>
      <c r="I87" s="77"/>
      <c r="J87" s="77"/>
      <c r="K87" s="77"/>
      <c r="L87" s="77"/>
      <c r="M87" s="39"/>
      <c r="N87" s="202"/>
      <c r="O87" s="87" t="s">
        <v>122</v>
      </c>
      <c r="P87" s="131" t="s">
        <v>22</v>
      </c>
      <c r="Q87" s="130">
        <v>6</v>
      </c>
      <c r="R87" s="19" t="s">
        <v>13</v>
      </c>
      <c r="S87" s="22"/>
      <c r="T87" s="19"/>
      <c r="U87" s="130"/>
      <c r="V87" s="40" t="s">
        <v>11</v>
      </c>
    </row>
    <row r="88" spans="1:22" ht="30" x14ac:dyDescent="0.2">
      <c r="A88" s="237" t="s">
        <v>10</v>
      </c>
      <c r="B88" s="240" t="s">
        <v>123</v>
      </c>
      <c r="C88" s="243" t="s">
        <v>23</v>
      </c>
      <c r="D88" s="81">
        <f t="shared" ref="D88" si="19">4*5</f>
        <v>20</v>
      </c>
      <c r="E88" s="81">
        <f t="shared" ref="E88" si="20">2.5*2</f>
        <v>5</v>
      </c>
      <c r="F88" s="246"/>
      <c r="G88" s="246"/>
      <c r="H88" s="246">
        <f>SUM(D88:G88)</f>
        <v>25</v>
      </c>
      <c r="I88" s="246"/>
      <c r="J88" s="246"/>
      <c r="K88" s="246"/>
      <c r="L88" s="246"/>
      <c r="M88" s="246"/>
      <c r="N88" s="246">
        <f>H88</f>
        <v>25</v>
      </c>
      <c r="O88" s="246"/>
      <c r="P88" s="246"/>
      <c r="Q88" s="246"/>
      <c r="R88" s="246"/>
      <c r="S88" s="151" t="s">
        <v>124</v>
      </c>
      <c r="T88" s="78" t="s">
        <v>60</v>
      </c>
      <c r="U88" s="79">
        <v>10</v>
      </c>
      <c r="V88" s="80" t="s">
        <v>33</v>
      </c>
    </row>
    <row r="89" spans="1:22" ht="30" x14ac:dyDescent="0.2">
      <c r="A89" s="238"/>
      <c r="B89" s="241"/>
      <c r="C89" s="244"/>
      <c r="D89" s="81"/>
      <c r="E89" s="81"/>
      <c r="F89" s="247"/>
      <c r="G89" s="247"/>
      <c r="H89" s="247"/>
      <c r="I89" s="247"/>
      <c r="J89" s="247"/>
      <c r="K89" s="247"/>
      <c r="L89" s="247"/>
      <c r="M89" s="247"/>
      <c r="N89" s="252"/>
      <c r="O89" s="247"/>
      <c r="P89" s="247"/>
      <c r="Q89" s="247"/>
      <c r="R89" s="247"/>
      <c r="S89" s="151" t="s">
        <v>124</v>
      </c>
      <c r="T89" s="78" t="s">
        <v>60</v>
      </c>
      <c r="U89" s="79">
        <f>H88-U88</f>
        <v>15</v>
      </c>
      <c r="V89" s="40" t="s">
        <v>11</v>
      </c>
    </row>
    <row r="90" spans="1:22" ht="30" x14ac:dyDescent="0.2">
      <c r="A90" s="238"/>
      <c r="B90" s="241"/>
      <c r="C90" s="244"/>
      <c r="D90" s="81" t="s">
        <v>155</v>
      </c>
      <c r="E90" s="81" t="s">
        <v>156</v>
      </c>
      <c r="F90" s="81"/>
      <c r="G90" s="81"/>
      <c r="H90" s="81"/>
      <c r="I90" s="81"/>
      <c r="J90" s="81"/>
      <c r="K90" s="81"/>
      <c r="L90" s="81"/>
      <c r="M90" s="64"/>
      <c r="N90" s="252"/>
      <c r="O90" s="81"/>
      <c r="P90" s="81"/>
      <c r="Q90" s="148"/>
      <c r="R90" s="148"/>
      <c r="S90" s="151" t="s">
        <v>125</v>
      </c>
      <c r="T90" s="152" t="s">
        <v>22</v>
      </c>
      <c r="U90" s="79">
        <v>5</v>
      </c>
      <c r="V90" s="40" t="s">
        <v>11</v>
      </c>
    </row>
    <row r="91" spans="1:22" ht="45" x14ac:dyDescent="0.2">
      <c r="A91" s="238"/>
      <c r="B91" s="241"/>
      <c r="C91" s="244"/>
      <c r="D91" s="81">
        <f>4*10</f>
        <v>40</v>
      </c>
      <c r="E91" s="81">
        <f>2*5</f>
        <v>10</v>
      </c>
      <c r="F91" s="81"/>
      <c r="G91" s="81"/>
      <c r="H91" s="81">
        <f>SUM(D91:G91)</f>
        <v>50</v>
      </c>
      <c r="I91" s="81"/>
      <c r="J91" s="81"/>
      <c r="K91" s="81"/>
      <c r="L91" s="81">
        <f>SUM(I91:K91)</f>
        <v>0</v>
      </c>
      <c r="M91" s="83">
        <f>H91-L91</f>
        <v>50</v>
      </c>
      <c r="N91" s="252"/>
      <c r="O91" s="81"/>
      <c r="P91" s="81"/>
      <c r="Q91" s="27"/>
      <c r="R91" s="27"/>
      <c r="S91" s="151" t="s">
        <v>126</v>
      </c>
      <c r="T91" s="78" t="s">
        <v>22</v>
      </c>
      <c r="U91" s="79">
        <f>M91-U92</f>
        <v>34</v>
      </c>
      <c r="V91" s="40" t="s">
        <v>11</v>
      </c>
    </row>
    <row r="92" spans="1:22" ht="30" x14ac:dyDescent="0.2">
      <c r="A92" s="239"/>
      <c r="B92" s="242"/>
      <c r="C92" s="245"/>
      <c r="D92" s="67"/>
      <c r="E92" s="67"/>
      <c r="F92" s="67"/>
      <c r="G92" s="67"/>
      <c r="H92" s="67"/>
      <c r="I92" s="67"/>
      <c r="J92" s="67"/>
      <c r="K92" s="67"/>
      <c r="L92" s="66"/>
      <c r="M92" s="84"/>
      <c r="N92" s="247"/>
      <c r="O92" s="19"/>
      <c r="P92" s="19"/>
      <c r="Q92" s="19"/>
      <c r="R92" s="19"/>
      <c r="S92" s="151" t="s">
        <v>127</v>
      </c>
      <c r="T92" s="78" t="s">
        <v>22</v>
      </c>
      <c r="U92" s="79">
        <f>Q82</f>
        <v>16</v>
      </c>
      <c r="V92" s="82" t="s">
        <v>33</v>
      </c>
    </row>
    <row r="93" spans="1:22" ht="60" x14ac:dyDescent="0.2">
      <c r="A93" s="248" t="s">
        <v>16</v>
      </c>
      <c r="B93" s="250" t="s">
        <v>128</v>
      </c>
      <c r="C93" s="248" t="s">
        <v>22</v>
      </c>
      <c r="D93" s="200">
        <f>3*10</f>
        <v>30</v>
      </c>
      <c r="E93" s="200">
        <f>1*5</f>
        <v>5</v>
      </c>
      <c r="F93" s="200"/>
      <c r="G93" s="200"/>
      <c r="H93" s="200">
        <f>SUM(D93:F93)</f>
        <v>35</v>
      </c>
      <c r="I93" s="200"/>
      <c r="J93" s="200"/>
      <c r="K93" s="200"/>
      <c r="L93" s="200"/>
      <c r="M93" s="200"/>
      <c r="N93" s="200">
        <f>H93-M93</f>
        <v>35</v>
      </c>
      <c r="O93" s="200"/>
      <c r="P93" s="200"/>
      <c r="Q93" s="200"/>
      <c r="R93" s="200"/>
      <c r="S93" s="151" t="s">
        <v>129</v>
      </c>
      <c r="T93" s="153" t="s">
        <v>22</v>
      </c>
      <c r="U93" s="79">
        <f>Q86</f>
        <v>10</v>
      </c>
      <c r="V93" s="82" t="s">
        <v>33</v>
      </c>
    </row>
    <row r="94" spans="1:22" ht="60" x14ac:dyDescent="0.2">
      <c r="A94" s="249"/>
      <c r="B94" s="251"/>
      <c r="C94" s="249"/>
      <c r="D94" s="202"/>
      <c r="E94" s="202"/>
      <c r="F94" s="202"/>
      <c r="G94" s="202"/>
      <c r="H94" s="202"/>
      <c r="I94" s="202"/>
      <c r="J94" s="202"/>
      <c r="K94" s="202"/>
      <c r="L94" s="202"/>
      <c r="M94" s="202"/>
      <c r="N94" s="202"/>
      <c r="O94" s="202"/>
      <c r="P94" s="202"/>
      <c r="Q94" s="202"/>
      <c r="R94" s="202"/>
      <c r="S94" s="151" t="s">
        <v>129</v>
      </c>
      <c r="T94" s="153" t="s">
        <v>22</v>
      </c>
      <c r="U94" s="79">
        <f>N93-U93</f>
        <v>25</v>
      </c>
      <c r="V94" s="40" t="s">
        <v>11</v>
      </c>
    </row>
    <row r="95" spans="1:22" ht="51" x14ac:dyDescent="0.2">
      <c r="A95" s="253" t="s">
        <v>17</v>
      </c>
      <c r="B95" s="254" t="s">
        <v>130</v>
      </c>
      <c r="C95" s="253" t="s">
        <v>22</v>
      </c>
      <c r="D95" s="223">
        <f>10*2+5</f>
        <v>25</v>
      </c>
      <c r="E95" s="200"/>
      <c r="F95" s="200"/>
      <c r="G95" s="200"/>
      <c r="H95" s="200">
        <f>SUM(D95:G97)</f>
        <v>25</v>
      </c>
      <c r="I95" s="200"/>
      <c r="J95" s="200"/>
      <c r="K95" s="200"/>
      <c r="L95" s="214"/>
      <c r="M95" s="256"/>
      <c r="N95" s="223">
        <f>H95-M95</f>
        <v>25</v>
      </c>
      <c r="O95" s="258"/>
      <c r="P95" s="258"/>
      <c r="Q95" s="258"/>
      <c r="R95" s="258"/>
      <c r="S95" s="154" t="s">
        <v>131</v>
      </c>
      <c r="T95" s="153" t="s">
        <v>22</v>
      </c>
      <c r="U95" s="155">
        <v>20</v>
      </c>
      <c r="V95" s="40" t="s">
        <v>11</v>
      </c>
    </row>
    <row r="96" spans="1:22" ht="51" x14ac:dyDescent="0.2">
      <c r="A96" s="253"/>
      <c r="B96" s="254"/>
      <c r="C96" s="253"/>
      <c r="D96" s="255"/>
      <c r="E96" s="201"/>
      <c r="F96" s="201"/>
      <c r="G96" s="201"/>
      <c r="H96" s="201"/>
      <c r="I96" s="201"/>
      <c r="J96" s="201"/>
      <c r="K96" s="201"/>
      <c r="L96" s="225"/>
      <c r="M96" s="257"/>
      <c r="N96" s="255"/>
      <c r="O96" s="259"/>
      <c r="P96" s="259"/>
      <c r="Q96" s="259"/>
      <c r="R96" s="259"/>
      <c r="S96" s="154" t="s">
        <v>132</v>
      </c>
      <c r="T96" s="153" t="s">
        <v>22</v>
      </c>
      <c r="U96" s="155">
        <v>5</v>
      </c>
      <c r="V96" s="40" t="s">
        <v>11</v>
      </c>
    </row>
    <row r="97" spans="1:22" ht="38.25" x14ac:dyDescent="0.2">
      <c r="A97" s="253"/>
      <c r="B97" s="254"/>
      <c r="C97" s="253"/>
      <c r="D97" s="255"/>
      <c r="E97" s="201"/>
      <c r="F97" s="201"/>
      <c r="G97" s="201"/>
      <c r="H97" s="201"/>
      <c r="I97" s="201"/>
      <c r="J97" s="201"/>
      <c r="K97" s="201"/>
      <c r="L97" s="225"/>
      <c r="M97" s="257"/>
      <c r="N97" s="255"/>
      <c r="O97" s="259"/>
      <c r="P97" s="259"/>
      <c r="Q97" s="259"/>
      <c r="R97" s="259"/>
      <c r="S97" s="154" t="s">
        <v>255</v>
      </c>
      <c r="T97" s="153" t="s">
        <v>22</v>
      </c>
      <c r="U97" s="155">
        <f>U95+U96</f>
        <v>25</v>
      </c>
      <c r="V97" s="40" t="s">
        <v>11</v>
      </c>
    </row>
    <row r="98" spans="1:22" ht="15" x14ac:dyDescent="0.2">
      <c r="A98" s="80" t="s">
        <v>26</v>
      </c>
      <c r="B98" s="86" t="s">
        <v>133</v>
      </c>
      <c r="C98" s="80" t="s">
        <v>23</v>
      </c>
      <c r="D98" s="38">
        <f>(5+2.5)*5</f>
        <v>37.5</v>
      </c>
      <c r="E98" s="39"/>
      <c r="F98" s="39"/>
      <c r="G98" s="39"/>
      <c r="H98" s="39">
        <f>SUM(D98:G98)</f>
        <v>37.5</v>
      </c>
      <c r="I98" s="39"/>
      <c r="J98" s="39"/>
      <c r="K98" s="39"/>
      <c r="L98" s="39"/>
      <c r="M98" s="87"/>
      <c r="N98" s="54">
        <v>40</v>
      </c>
      <c r="O98" s="87"/>
      <c r="P98" s="19"/>
      <c r="Q98" s="19"/>
      <c r="R98" s="19"/>
      <c r="S98" s="154" t="s">
        <v>134</v>
      </c>
      <c r="T98" s="152" t="s">
        <v>23</v>
      </c>
      <c r="U98" s="79">
        <f>N98</f>
        <v>40</v>
      </c>
      <c r="V98" s="40" t="s">
        <v>11</v>
      </c>
    </row>
    <row r="99" spans="1:22" ht="15" x14ac:dyDescent="0.2">
      <c r="A99" s="276">
        <v>6</v>
      </c>
      <c r="B99" s="228" t="s">
        <v>135</v>
      </c>
      <c r="C99" s="278" t="s">
        <v>23</v>
      </c>
      <c r="D99" s="174">
        <v>60</v>
      </c>
      <c r="E99" s="174"/>
      <c r="F99" s="174"/>
      <c r="G99" s="174"/>
      <c r="H99" s="174"/>
      <c r="I99" s="174"/>
      <c r="J99" s="174"/>
      <c r="K99" s="174"/>
      <c r="L99" s="174"/>
      <c r="M99" s="174"/>
      <c r="N99" s="223">
        <f>SUM(D99:M101)</f>
        <v>60</v>
      </c>
      <c r="O99" s="266"/>
      <c r="P99" s="266"/>
      <c r="Q99" s="266"/>
      <c r="R99" s="266"/>
      <c r="S99" s="154" t="s">
        <v>136</v>
      </c>
      <c r="T99" s="156" t="s">
        <v>23</v>
      </c>
      <c r="U99" s="79">
        <f>N99</f>
        <v>60</v>
      </c>
      <c r="V99" s="40" t="s">
        <v>11</v>
      </c>
    </row>
    <row r="100" spans="1:22" ht="15" x14ac:dyDescent="0.2">
      <c r="A100" s="277"/>
      <c r="B100" s="229"/>
      <c r="C100" s="279"/>
      <c r="D100" s="191"/>
      <c r="E100" s="191"/>
      <c r="F100" s="191"/>
      <c r="G100" s="191"/>
      <c r="H100" s="191"/>
      <c r="I100" s="191"/>
      <c r="J100" s="191"/>
      <c r="K100" s="191"/>
      <c r="L100" s="191"/>
      <c r="M100" s="191"/>
      <c r="N100" s="255"/>
      <c r="O100" s="267"/>
      <c r="P100" s="267"/>
      <c r="Q100" s="267"/>
      <c r="R100" s="267"/>
      <c r="S100" s="154" t="s">
        <v>138</v>
      </c>
      <c r="T100" s="156" t="s">
        <v>23</v>
      </c>
      <c r="U100" s="79">
        <v>50</v>
      </c>
      <c r="V100" s="40" t="s">
        <v>11</v>
      </c>
    </row>
    <row r="101" spans="1:22" ht="15" x14ac:dyDescent="0.2">
      <c r="A101" s="277"/>
      <c r="B101" s="229"/>
      <c r="C101" s="279"/>
      <c r="D101" s="191"/>
      <c r="E101" s="191"/>
      <c r="F101" s="191"/>
      <c r="G101" s="191"/>
      <c r="H101" s="191"/>
      <c r="I101" s="191"/>
      <c r="J101" s="191"/>
      <c r="K101" s="191"/>
      <c r="L101" s="191"/>
      <c r="M101" s="191"/>
      <c r="N101" s="255"/>
      <c r="O101" s="267"/>
      <c r="P101" s="267"/>
      <c r="Q101" s="267"/>
      <c r="R101" s="267"/>
      <c r="S101" s="154" t="s">
        <v>139</v>
      </c>
      <c r="T101" s="156" t="s">
        <v>55</v>
      </c>
      <c r="U101" s="79">
        <v>2</v>
      </c>
      <c r="V101" s="40" t="s">
        <v>11</v>
      </c>
    </row>
    <row r="102" spans="1:22" ht="15" x14ac:dyDescent="0.2">
      <c r="A102" s="80" t="s">
        <v>19</v>
      </c>
      <c r="B102" s="86" t="s">
        <v>140</v>
      </c>
      <c r="C102" s="88" t="s">
        <v>23</v>
      </c>
      <c r="D102" s="111">
        <f>(4+3)*5*5</f>
        <v>175</v>
      </c>
      <c r="E102" s="111"/>
      <c r="F102" s="111"/>
      <c r="G102" s="111"/>
      <c r="H102" s="111">
        <f>SUM(D102:G102)</f>
        <v>175</v>
      </c>
      <c r="I102" s="39"/>
      <c r="J102" s="39"/>
      <c r="K102" s="39"/>
      <c r="L102" s="39"/>
      <c r="M102" s="39">
        <f>SUM(I102:L102)</f>
        <v>0</v>
      </c>
      <c r="N102" s="54">
        <f>H102-M102</f>
        <v>175</v>
      </c>
      <c r="O102" s="198"/>
      <c r="P102" s="198"/>
      <c r="Q102" s="198"/>
      <c r="R102" s="198"/>
      <c r="S102" s="260" t="s">
        <v>141</v>
      </c>
      <c r="T102" s="262" t="s">
        <v>60</v>
      </c>
      <c r="U102" s="264">
        <f>SUM(N102:N103)</f>
        <v>1275</v>
      </c>
      <c r="V102" s="248" t="s">
        <v>11</v>
      </c>
    </row>
    <row r="103" spans="1:22" ht="15" x14ac:dyDescent="0.2">
      <c r="A103" s="80" t="s">
        <v>21</v>
      </c>
      <c r="B103" s="86" t="s">
        <v>142</v>
      </c>
      <c r="C103" s="88" t="s">
        <v>23</v>
      </c>
      <c r="D103" s="111">
        <f>(7+7+7+7)*20+3*5</f>
        <v>575</v>
      </c>
      <c r="E103" s="111">
        <f>3.5*25</f>
        <v>87.5</v>
      </c>
      <c r="F103" s="111">
        <f>25*(15+5)</f>
        <v>500</v>
      </c>
      <c r="G103" s="111"/>
      <c r="H103" s="111">
        <f>SUM(D103:G103)</f>
        <v>1162.5</v>
      </c>
      <c r="I103" s="39"/>
      <c r="J103" s="39"/>
      <c r="K103" s="39"/>
      <c r="L103" s="39"/>
      <c r="M103" s="39">
        <f>SUM(I103:L103)</f>
        <v>0</v>
      </c>
      <c r="N103" s="54">
        <v>1100</v>
      </c>
      <c r="O103" s="199"/>
      <c r="P103" s="199"/>
      <c r="Q103" s="199"/>
      <c r="R103" s="199"/>
      <c r="S103" s="261"/>
      <c r="T103" s="263"/>
      <c r="U103" s="265"/>
      <c r="V103" s="249"/>
    </row>
    <row r="104" spans="1:22" ht="25.5" x14ac:dyDescent="0.2">
      <c r="A104" s="19" t="s">
        <v>24</v>
      </c>
      <c r="B104" s="22" t="s">
        <v>143</v>
      </c>
      <c r="C104" s="19" t="s">
        <v>144</v>
      </c>
      <c r="D104" s="89">
        <f>10*2+5</f>
        <v>25</v>
      </c>
      <c r="E104" s="89"/>
      <c r="F104" s="89"/>
      <c r="G104" s="89"/>
      <c r="H104" s="39">
        <f>SUM(D104:G104)</f>
        <v>25</v>
      </c>
      <c r="I104" s="89"/>
      <c r="J104" s="89"/>
      <c r="K104" s="89"/>
      <c r="L104" s="90"/>
      <c r="M104" s="91"/>
      <c r="N104" s="54">
        <f>H104-M104</f>
        <v>25</v>
      </c>
      <c r="O104" s="19"/>
      <c r="P104" s="19"/>
      <c r="Q104" s="22"/>
      <c r="R104" s="19"/>
      <c r="S104" s="19"/>
      <c r="T104" s="19"/>
      <c r="U104" s="19"/>
      <c r="V104" s="121" t="s">
        <v>11</v>
      </c>
    </row>
    <row r="105" spans="1:22" ht="15" x14ac:dyDescent="0.2">
      <c r="A105" s="80" t="s">
        <v>47</v>
      </c>
      <c r="B105" s="86" t="s">
        <v>145</v>
      </c>
      <c r="C105" s="88" t="s">
        <v>22</v>
      </c>
      <c r="D105" s="89">
        <f>10*2+5</f>
        <v>25</v>
      </c>
      <c r="E105" s="89"/>
      <c r="F105" s="89"/>
      <c r="G105" s="89"/>
      <c r="H105" s="39">
        <f>SUM(D105:G105)</f>
        <v>25</v>
      </c>
      <c r="I105" s="89"/>
      <c r="J105" s="89"/>
      <c r="K105" s="89"/>
      <c r="L105" s="90"/>
      <c r="M105" s="91"/>
      <c r="N105" s="54">
        <f>H105-M105</f>
        <v>25</v>
      </c>
      <c r="O105" s="157"/>
      <c r="P105" s="157"/>
      <c r="Q105" s="26"/>
      <c r="R105" s="19"/>
      <c r="S105" s="155"/>
      <c r="T105" s="155"/>
      <c r="U105" s="155"/>
      <c r="V105" s="121" t="s">
        <v>11</v>
      </c>
    </row>
    <row r="106" spans="1:22" ht="15.75" x14ac:dyDescent="0.2">
      <c r="A106" s="23"/>
      <c r="B106" s="30" t="s">
        <v>159</v>
      </c>
      <c r="C106" s="23"/>
      <c r="D106" s="23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  <c r="P106" s="23"/>
      <c r="Q106" s="23"/>
      <c r="R106" s="28"/>
      <c r="S106" s="23"/>
      <c r="T106" s="23"/>
      <c r="U106" s="23"/>
      <c r="V106" s="23"/>
    </row>
    <row r="107" spans="1:22" x14ac:dyDescent="0.2">
      <c r="A107" s="102" t="s">
        <v>9</v>
      </c>
      <c r="B107" s="103" t="s">
        <v>160</v>
      </c>
      <c r="C107" s="76" t="s">
        <v>55</v>
      </c>
      <c r="D107" s="104">
        <v>8</v>
      </c>
      <c r="E107" s="104"/>
      <c r="F107" s="104"/>
      <c r="G107" s="104"/>
      <c r="H107" s="104"/>
      <c r="I107" s="104"/>
      <c r="J107" s="104"/>
      <c r="K107" s="104"/>
      <c r="L107" s="104"/>
      <c r="M107" s="53"/>
      <c r="N107" s="119">
        <f>D107</f>
        <v>8</v>
      </c>
      <c r="O107" s="105"/>
      <c r="P107" s="105"/>
      <c r="Q107" s="105"/>
      <c r="R107" s="105"/>
      <c r="S107" s="93" t="s">
        <v>161</v>
      </c>
      <c r="T107" s="94" t="s">
        <v>55</v>
      </c>
      <c r="U107" s="95">
        <f>N107</f>
        <v>8</v>
      </c>
      <c r="V107" s="85" t="s">
        <v>33</v>
      </c>
    </row>
    <row r="108" spans="1:22" ht="38.25" x14ac:dyDescent="0.2">
      <c r="A108" s="97" t="s">
        <v>16</v>
      </c>
      <c r="B108" s="98" t="s">
        <v>162</v>
      </c>
      <c r="C108" s="94" t="s">
        <v>55</v>
      </c>
      <c r="D108" s="95">
        <f>D107*2</f>
        <v>16</v>
      </c>
      <c r="E108" s="95"/>
      <c r="F108" s="95"/>
      <c r="G108" s="95"/>
      <c r="H108" s="95">
        <f>SUM(D108:G108)</f>
        <v>16</v>
      </c>
      <c r="I108" s="95"/>
      <c r="J108" s="95"/>
      <c r="K108" s="95"/>
      <c r="L108" s="95"/>
      <c r="M108" s="95">
        <f>SUM(I108:L108)</f>
        <v>0</v>
      </c>
      <c r="N108" s="142">
        <f>H108-M108</f>
        <v>16</v>
      </c>
      <c r="O108" s="99"/>
      <c r="P108" s="99"/>
      <c r="Q108" s="99"/>
      <c r="R108" s="99"/>
      <c r="S108" s="93" t="s">
        <v>163</v>
      </c>
      <c r="T108" s="94" t="s">
        <v>55</v>
      </c>
      <c r="U108" s="95">
        <f>N108</f>
        <v>16</v>
      </c>
      <c r="V108" s="96" t="s">
        <v>11</v>
      </c>
    </row>
    <row r="109" spans="1:22" x14ac:dyDescent="0.2">
      <c r="A109" s="97" t="s">
        <v>17</v>
      </c>
      <c r="B109" s="98" t="s">
        <v>164</v>
      </c>
      <c r="C109" s="94" t="s">
        <v>23</v>
      </c>
      <c r="D109" s="95">
        <f>D107*1</f>
        <v>8</v>
      </c>
      <c r="E109" s="95"/>
      <c r="F109" s="95"/>
      <c r="G109" s="95"/>
      <c r="H109" s="95">
        <f t="shared" ref="H109:H110" si="21">SUM(D109:G109)</f>
        <v>8</v>
      </c>
      <c r="I109" s="95"/>
      <c r="J109" s="95"/>
      <c r="K109" s="95"/>
      <c r="L109" s="95"/>
      <c r="M109" s="95"/>
      <c r="N109" s="142">
        <f t="shared" ref="N109:N111" si="22">H109-M109</f>
        <v>8</v>
      </c>
      <c r="O109" s="100"/>
      <c r="P109" s="100"/>
      <c r="Q109" s="19"/>
      <c r="R109" s="100"/>
      <c r="S109" s="93" t="s">
        <v>165</v>
      </c>
      <c r="T109" s="94" t="s">
        <v>23</v>
      </c>
      <c r="U109" s="95">
        <v>8</v>
      </c>
      <c r="V109" s="96" t="s">
        <v>11</v>
      </c>
    </row>
    <row r="110" spans="1:22" x14ac:dyDescent="0.2">
      <c r="A110" s="97" t="s">
        <v>26</v>
      </c>
      <c r="B110" s="101" t="s">
        <v>166</v>
      </c>
      <c r="C110" s="94" t="s">
        <v>23</v>
      </c>
      <c r="D110" s="95">
        <f>4*10</f>
        <v>40</v>
      </c>
      <c r="E110" s="95"/>
      <c r="F110" s="95"/>
      <c r="G110" s="95"/>
      <c r="H110" s="95">
        <f t="shared" si="21"/>
        <v>40</v>
      </c>
      <c r="I110" s="95"/>
      <c r="J110" s="95"/>
      <c r="K110" s="95"/>
      <c r="L110" s="95"/>
      <c r="M110" s="95"/>
      <c r="N110" s="142">
        <f t="shared" si="22"/>
        <v>40</v>
      </c>
      <c r="O110" s="100"/>
      <c r="P110" s="100"/>
      <c r="Q110" s="19"/>
      <c r="R110" s="100"/>
      <c r="S110" s="233" t="s">
        <v>167</v>
      </c>
      <c r="T110" s="268" t="s">
        <v>23</v>
      </c>
      <c r="U110" s="270">
        <f>N111+N110</f>
        <v>270</v>
      </c>
      <c r="V110" s="272" t="s">
        <v>11</v>
      </c>
    </row>
    <row r="111" spans="1:22" ht="25.5" x14ac:dyDescent="0.2">
      <c r="A111" s="97" t="s">
        <v>18</v>
      </c>
      <c r="B111" s="101" t="s">
        <v>168</v>
      </c>
      <c r="C111" s="94" t="s">
        <v>23</v>
      </c>
      <c r="D111" s="95">
        <f>6.5*4+15*4+2*4+10*4+6*8+6*8</f>
        <v>230</v>
      </c>
      <c r="E111" s="95"/>
      <c r="F111" s="95"/>
      <c r="G111" s="95"/>
      <c r="H111" s="95">
        <f>SUM(D111:G111)</f>
        <v>230</v>
      </c>
      <c r="I111" s="95"/>
      <c r="J111" s="95"/>
      <c r="K111" s="95"/>
      <c r="L111" s="95"/>
      <c r="M111" s="95"/>
      <c r="N111" s="142">
        <f t="shared" si="22"/>
        <v>230</v>
      </c>
      <c r="O111" s="100"/>
      <c r="P111" s="100"/>
      <c r="Q111" s="19"/>
      <c r="R111" s="100"/>
      <c r="S111" s="234"/>
      <c r="T111" s="269"/>
      <c r="U111" s="271"/>
      <c r="V111" s="273"/>
    </row>
    <row r="112" spans="1:22" ht="15.75" x14ac:dyDescent="0.2">
      <c r="A112" s="31"/>
      <c r="B112" s="32" t="s">
        <v>192</v>
      </c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4"/>
      <c r="P112" s="33"/>
      <c r="Q112" s="33"/>
      <c r="R112" s="33"/>
      <c r="S112" s="34"/>
      <c r="T112" s="33"/>
      <c r="U112" s="33"/>
      <c r="V112" s="33"/>
    </row>
    <row r="113" spans="1:22" ht="25.5" x14ac:dyDescent="0.2">
      <c r="A113" s="182">
        <v>1</v>
      </c>
      <c r="B113" s="187" t="s">
        <v>196</v>
      </c>
      <c r="C113" s="192" t="s">
        <v>55</v>
      </c>
      <c r="D113" s="174">
        <v>12</v>
      </c>
      <c r="E113" s="174"/>
      <c r="F113" s="174"/>
      <c r="G113" s="174"/>
      <c r="H113" s="174">
        <f>SUM(D113:G114)</f>
        <v>12</v>
      </c>
      <c r="I113" s="174"/>
      <c r="J113" s="174"/>
      <c r="K113" s="174"/>
      <c r="L113" s="174"/>
      <c r="M113" s="174"/>
      <c r="N113" s="174">
        <f>H113-M113</f>
        <v>12</v>
      </c>
      <c r="O113" s="58" t="s">
        <v>197</v>
      </c>
      <c r="P113" s="63" t="s">
        <v>55</v>
      </c>
      <c r="Q113" s="95">
        <v>4</v>
      </c>
      <c r="R113" s="110" t="s">
        <v>33</v>
      </c>
      <c r="T113" s="39"/>
      <c r="U113" s="54"/>
      <c r="V113" s="65" t="s">
        <v>11</v>
      </c>
    </row>
    <row r="114" spans="1:22" ht="25.5" x14ac:dyDescent="0.2">
      <c r="A114" s="190"/>
      <c r="B114" s="189"/>
      <c r="C114" s="194"/>
      <c r="D114" s="175"/>
      <c r="E114" s="175"/>
      <c r="F114" s="175"/>
      <c r="G114" s="175"/>
      <c r="H114" s="175"/>
      <c r="I114" s="175"/>
      <c r="J114" s="175"/>
      <c r="K114" s="175"/>
      <c r="L114" s="175"/>
      <c r="M114" s="175"/>
      <c r="N114" s="175"/>
      <c r="O114" s="58" t="s">
        <v>198</v>
      </c>
      <c r="P114" s="109" t="s">
        <v>55</v>
      </c>
      <c r="Q114" s="95">
        <v>8</v>
      </c>
      <c r="R114" s="110" t="s">
        <v>33</v>
      </c>
      <c r="S114" s="58"/>
      <c r="T114" s="39"/>
      <c r="U114" s="54"/>
      <c r="V114" s="131" t="s">
        <v>11</v>
      </c>
    </row>
    <row r="115" spans="1:22" ht="15.75" x14ac:dyDescent="0.2">
      <c r="A115" s="31"/>
      <c r="B115" s="32" t="s">
        <v>193</v>
      </c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4"/>
      <c r="P115" s="33"/>
      <c r="Q115" s="33"/>
      <c r="R115" s="33"/>
      <c r="S115" s="34"/>
      <c r="T115" s="33"/>
      <c r="U115" s="33"/>
      <c r="V115" s="33"/>
    </row>
    <row r="116" spans="1:22" ht="25.5" x14ac:dyDescent="0.2">
      <c r="A116" s="178" t="s">
        <v>9</v>
      </c>
      <c r="B116" s="180" t="s">
        <v>199</v>
      </c>
      <c r="C116" s="182" t="s">
        <v>55</v>
      </c>
      <c r="D116" s="139">
        <v>4</v>
      </c>
      <c r="E116" s="149"/>
      <c r="F116" s="149"/>
      <c r="G116" s="149"/>
      <c r="H116" s="149"/>
      <c r="I116" s="149"/>
      <c r="J116" s="149"/>
      <c r="K116" s="137"/>
      <c r="L116" s="68"/>
      <c r="M116" s="68"/>
      <c r="N116" s="171">
        <v>8</v>
      </c>
      <c r="O116" s="158" t="s">
        <v>211</v>
      </c>
      <c r="P116" s="131" t="s">
        <v>55</v>
      </c>
      <c r="Q116" s="139">
        <f>N116</f>
        <v>8</v>
      </c>
      <c r="R116" s="131" t="s">
        <v>200</v>
      </c>
      <c r="S116" s="27"/>
      <c r="T116" s="130"/>
      <c r="U116" s="54"/>
      <c r="V116" s="131" t="s">
        <v>11</v>
      </c>
    </row>
    <row r="117" spans="1:22" ht="25.5" x14ac:dyDescent="0.2">
      <c r="A117" s="195"/>
      <c r="B117" s="203"/>
      <c r="C117" s="190"/>
      <c r="D117" s="139"/>
      <c r="E117" s="149"/>
      <c r="F117" s="149"/>
      <c r="G117" s="149"/>
      <c r="H117" s="149"/>
      <c r="I117" s="149"/>
      <c r="J117" s="149"/>
      <c r="K117" s="137"/>
      <c r="L117" s="68"/>
      <c r="M117" s="68"/>
      <c r="N117" s="172"/>
      <c r="O117" s="158" t="s">
        <v>230</v>
      </c>
      <c r="P117" s="131" t="s">
        <v>55</v>
      </c>
      <c r="Q117" s="139">
        <f>N116</f>
        <v>8</v>
      </c>
      <c r="R117" s="131" t="s">
        <v>200</v>
      </c>
      <c r="S117" s="27"/>
      <c r="T117" s="130"/>
      <c r="U117" s="54"/>
      <c r="V117" s="131" t="s">
        <v>11</v>
      </c>
    </row>
    <row r="118" spans="1:22" ht="25.5" x14ac:dyDescent="0.2">
      <c r="A118" s="159">
        <v>2</v>
      </c>
      <c r="B118" s="26" t="s">
        <v>220</v>
      </c>
      <c r="C118" s="131" t="s">
        <v>55</v>
      </c>
      <c r="D118" s="139">
        <v>4</v>
      </c>
      <c r="E118" s="149"/>
      <c r="F118" s="149"/>
      <c r="G118" s="149"/>
      <c r="H118" s="149"/>
      <c r="I118" s="149"/>
      <c r="J118" s="149"/>
      <c r="K118" s="137"/>
      <c r="L118" s="68"/>
      <c r="M118" s="68"/>
      <c r="N118" s="142">
        <v>8</v>
      </c>
      <c r="O118" s="158" t="s">
        <v>214</v>
      </c>
      <c r="P118" s="131" t="s">
        <v>55</v>
      </c>
      <c r="Q118" s="139">
        <f t="shared" ref="Q118:Q121" si="23">N118</f>
        <v>8</v>
      </c>
      <c r="R118" s="131" t="s">
        <v>200</v>
      </c>
      <c r="S118" s="27"/>
      <c r="T118" s="130"/>
      <c r="U118" s="54"/>
      <c r="V118" s="131" t="s">
        <v>11</v>
      </c>
    </row>
    <row r="119" spans="1:22" ht="25.5" x14ac:dyDescent="0.2">
      <c r="A119" s="159">
        <v>3</v>
      </c>
      <c r="B119" s="26" t="s">
        <v>201</v>
      </c>
      <c r="C119" s="131" t="s">
        <v>55</v>
      </c>
      <c r="D119" s="139">
        <v>1</v>
      </c>
      <c r="E119" s="149"/>
      <c r="F119" s="149"/>
      <c r="G119" s="149"/>
      <c r="H119" s="149"/>
      <c r="I119" s="149"/>
      <c r="J119" s="149"/>
      <c r="K119" s="137"/>
      <c r="L119" s="68"/>
      <c r="M119" s="68"/>
      <c r="N119" s="142">
        <v>1</v>
      </c>
      <c r="O119" s="158" t="s">
        <v>219</v>
      </c>
      <c r="P119" s="131" t="s">
        <v>55</v>
      </c>
      <c r="Q119" s="139">
        <f t="shared" si="23"/>
        <v>1</v>
      </c>
      <c r="R119" s="131" t="s">
        <v>200</v>
      </c>
      <c r="S119" s="27"/>
      <c r="T119" s="130"/>
      <c r="U119" s="54"/>
      <c r="V119" s="131" t="s">
        <v>11</v>
      </c>
    </row>
    <row r="120" spans="1:22" ht="25.5" x14ac:dyDescent="0.2">
      <c r="A120" s="159">
        <v>4</v>
      </c>
      <c r="B120" s="26" t="s">
        <v>228</v>
      </c>
      <c r="C120" s="131" t="s">
        <v>55</v>
      </c>
      <c r="D120" s="139">
        <v>1</v>
      </c>
      <c r="E120" s="149"/>
      <c r="F120" s="144"/>
      <c r="G120" s="144"/>
      <c r="H120" s="144"/>
      <c r="I120" s="149"/>
      <c r="J120" s="149"/>
      <c r="K120" s="137"/>
      <c r="L120" s="68"/>
      <c r="M120" s="68"/>
      <c r="N120" s="142">
        <v>1</v>
      </c>
      <c r="O120" s="26" t="s">
        <v>229</v>
      </c>
      <c r="P120" s="131" t="s">
        <v>55</v>
      </c>
      <c r="Q120" s="139">
        <f>D120</f>
        <v>1</v>
      </c>
      <c r="R120" s="131" t="s">
        <v>200</v>
      </c>
      <c r="S120" s="27"/>
      <c r="T120" s="130"/>
      <c r="U120" s="54"/>
      <c r="V120" s="131" t="s">
        <v>11</v>
      </c>
    </row>
    <row r="121" spans="1:22" ht="25.5" x14ac:dyDescent="0.2">
      <c r="A121" s="159">
        <v>5</v>
      </c>
      <c r="B121" s="26" t="s">
        <v>202</v>
      </c>
      <c r="C121" s="131" t="s">
        <v>5</v>
      </c>
      <c r="D121" s="139">
        <v>0.1</v>
      </c>
      <c r="E121" s="149"/>
      <c r="F121" s="149"/>
      <c r="G121" s="149"/>
      <c r="H121" s="149"/>
      <c r="I121" s="149"/>
      <c r="J121" s="149"/>
      <c r="K121" s="137"/>
      <c r="L121" s="68"/>
      <c r="M121" s="68"/>
      <c r="N121" s="142">
        <v>10</v>
      </c>
      <c r="O121" s="158" t="s">
        <v>231</v>
      </c>
      <c r="P121" s="131" t="s">
        <v>5</v>
      </c>
      <c r="Q121" s="139">
        <f t="shared" si="23"/>
        <v>10</v>
      </c>
      <c r="R121" s="131" t="s">
        <v>200</v>
      </c>
      <c r="S121" s="27"/>
      <c r="T121" s="130"/>
      <c r="U121" s="54"/>
      <c r="V121" s="131" t="s">
        <v>11</v>
      </c>
    </row>
    <row r="122" spans="1:22" ht="27" customHeight="1" x14ac:dyDescent="0.2">
      <c r="A122" s="159">
        <v>6</v>
      </c>
      <c r="B122" s="26" t="s">
        <v>203</v>
      </c>
      <c r="C122" s="131" t="s">
        <v>23</v>
      </c>
      <c r="D122" s="139">
        <f>U122/100</f>
        <v>0.02</v>
      </c>
      <c r="E122" s="149"/>
      <c r="F122" s="131"/>
      <c r="G122" s="139"/>
      <c r="H122" s="131"/>
      <c r="I122" s="130"/>
      <c r="J122" s="130"/>
      <c r="K122" s="137"/>
      <c r="L122" s="68"/>
      <c r="M122" s="68"/>
      <c r="N122" s="160">
        <v>2</v>
      </c>
      <c r="O122" s="148"/>
      <c r="P122" s="131"/>
      <c r="Q122" s="161"/>
      <c r="R122" s="125"/>
      <c r="S122" s="162" t="s">
        <v>204</v>
      </c>
      <c r="T122" s="131" t="s">
        <v>137</v>
      </c>
      <c r="U122" s="139">
        <f>N122</f>
        <v>2</v>
      </c>
      <c r="V122" s="131" t="s">
        <v>11</v>
      </c>
    </row>
    <row r="123" spans="1:22" ht="25.5" x14ac:dyDescent="0.2">
      <c r="A123" s="159">
        <v>7</v>
      </c>
      <c r="B123" s="26" t="s">
        <v>205</v>
      </c>
      <c r="C123" s="131" t="s">
        <v>55</v>
      </c>
      <c r="D123" s="139">
        <f>U123</f>
        <v>8</v>
      </c>
      <c r="E123" s="149"/>
      <c r="F123" s="131"/>
      <c r="G123" s="139"/>
      <c r="H123" s="131"/>
      <c r="I123" s="130"/>
      <c r="J123" s="130"/>
      <c r="K123" s="137"/>
      <c r="L123" s="68"/>
      <c r="M123" s="68"/>
      <c r="N123" s="142">
        <v>8</v>
      </c>
      <c r="O123" s="148"/>
      <c r="P123" s="131"/>
      <c r="Q123" s="131"/>
      <c r="R123" s="125"/>
      <c r="S123" s="26" t="s">
        <v>205</v>
      </c>
      <c r="T123" s="68" t="s">
        <v>55</v>
      </c>
      <c r="U123" s="139">
        <f>N123</f>
        <v>8</v>
      </c>
      <c r="V123" s="131" t="s">
        <v>200</v>
      </c>
    </row>
    <row r="124" spans="1:22" ht="25.5" x14ac:dyDescent="0.2">
      <c r="A124" s="159">
        <v>8</v>
      </c>
      <c r="B124" s="26" t="s">
        <v>206</v>
      </c>
      <c r="C124" s="131" t="s">
        <v>55</v>
      </c>
      <c r="D124" s="139">
        <f>U124</f>
        <v>2</v>
      </c>
      <c r="E124" s="149"/>
      <c r="F124" s="131"/>
      <c r="G124" s="139"/>
      <c r="H124" s="131"/>
      <c r="I124" s="130"/>
      <c r="J124" s="130"/>
      <c r="K124" s="137"/>
      <c r="L124" s="68"/>
      <c r="M124" s="68"/>
      <c r="N124" s="142">
        <v>2</v>
      </c>
      <c r="O124" s="148"/>
      <c r="P124" s="148"/>
      <c r="Q124" s="131"/>
      <c r="R124" s="125"/>
      <c r="S124" s="26" t="s">
        <v>207</v>
      </c>
      <c r="T124" s="68" t="s">
        <v>55</v>
      </c>
      <c r="U124" s="139">
        <f>N124</f>
        <v>2</v>
      </c>
      <c r="V124" s="68" t="s">
        <v>11</v>
      </c>
    </row>
    <row r="125" spans="1:22" x14ac:dyDescent="0.2">
      <c r="A125" s="222" t="s">
        <v>24</v>
      </c>
      <c r="B125" s="180" t="s">
        <v>208</v>
      </c>
      <c r="C125" s="222" t="s">
        <v>23</v>
      </c>
      <c r="D125" s="184">
        <f>U125</f>
        <v>15</v>
      </c>
      <c r="E125" s="173"/>
      <c r="F125" s="173"/>
      <c r="G125" s="173"/>
      <c r="H125" s="177"/>
      <c r="I125" s="176"/>
      <c r="J125" s="134"/>
      <c r="K125" s="137"/>
      <c r="L125" s="136"/>
      <c r="M125" s="136"/>
      <c r="N125" s="171">
        <v>15</v>
      </c>
      <c r="O125" s="171"/>
      <c r="P125" s="171"/>
      <c r="Q125" s="171"/>
      <c r="R125" s="171"/>
      <c r="S125" s="163" t="s">
        <v>134</v>
      </c>
      <c r="T125" s="138" t="s">
        <v>23</v>
      </c>
      <c r="U125" s="139">
        <f>N125</f>
        <v>15</v>
      </c>
      <c r="V125" s="136" t="s">
        <v>11</v>
      </c>
    </row>
    <row r="126" spans="1:22" x14ac:dyDescent="0.2">
      <c r="A126" s="222"/>
      <c r="B126" s="203"/>
      <c r="C126" s="222"/>
      <c r="D126" s="275"/>
      <c r="E126" s="173"/>
      <c r="F126" s="173"/>
      <c r="G126" s="173"/>
      <c r="H126" s="177"/>
      <c r="I126" s="176"/>
      <c r="J126" s="134"/>
      <c r="K126" s="137"/>
      <c r="L126" s="136"/>
      <c r="M126" s="136"/>
      <c r="N126" s="172"/>
      <c r="O126" s="172"/>
      <c r="P126" s="172"/>
      <c r="Q126" s="172"/>
      <c r="R126" s="172"/>
      <c r="S126" s="163" t="s">
        <v>139</v>
      </c>
      <c r="T126" s="138" t="s">
        <v>55</v>
      </c>
      <c r="U126" s="139">
        <v>1</v>
      </c>
      <c r="V126" s="136" t="s">
        <v>11</v>
      </c>
    </row>
    <row r="127" spans="1:22" x14ac:dyDescent="0.2">
      <c r="A127" s="159">
        <v>10</v>
      </c>
      <c r="B127" s="26" t="s">
        <v>140</v>
      </c>
      <c r="C127" s="131" t="s">
        <v>23</v>
      </c>
      <c r="D127" s="139">
        <f>3.5*8+2*8+2+6</f>
        <v>52</v>
      </c>
      <c r="E127" s="139"/>
      <c r="F127" s="139"/>
      <c r="G127" s="139"/>
      <c r="H127" s="139">
        <f>SUM(D127:G127)</f>
        <v>52</v>
      </c>
      <c r="I127" s="139"/>
      <c r="J127" s="130"/>
      <c r="K127" s="137"/>
      <c r="L127" s="68"/>
      <c r="M127" s="68"/>
      <c r="N127" s="142">
        <v>52</v>
      </c>
      <c r="O127" s="148"/>
      <c r="P127" s="148"/>
      <c r="Q127" s="131"/>
      <c r="R127" s="125"/>
      <c r="S127" s="274" t="s">
        <v>141</v>
      </c>
      <c r="T127" s="173" t="s">
        <v>60</v>
      </c>
      <c r="U127" s="176">
        <f>SUM(N127:N128)</f>
        <v>602</v>
      </c>
      <c r="V127" s="173" t="s">
        <v>11</v>
      </c>
    </row>
    <row r="128" spans="1:22" x14ac:dyDescent="0.2">
      <c r="A128" s="164">
        <v>11</v>
      </c>
      <c r="B128" s="126" t="s">
        <v>142</v>
      </c>
      <c r="C128" s="124" t="s">
        <v>23</v>
      </c>
      <c r="D128" s="165">
        <f>(3+1.5)*8+(6.3+7.5)*8+7.5*8</f>
        <v>206.4</v>
      </c>
      <c r="E128" s="139">
        <f>16*3.5</f>
        <v>56</v>
      </c>
      <c r="F128" s="139">
        <f>18*16</f>
        <v>288</v>
      </c>
      <c r="G128" s="139"/>
      <c r="H128" s="139">
        <f>SUM(D128:G128)</f>
        <v>550.4</v>
      </c>
      <c r="I128" s="139"/>
      <c r="J128" s="130"/>
      <c r="K128" s="137"/>
      <c r="L128" s="68"/>
      <c r="M128" s="68"/>
      <c r="N128" s="142">
        <v>550</v>
      </c>
      <c r="O128" s="148"/>
      <c r="P128" s="148"/>
      <c r="Q128" s="131"/>
      <c r="R128" s="125"/>
      <c r="S128" s="274"/>
      <c r="T128" s="173"/>
      <c r="U128" s="176"/>
      <c r="V128" s="173"/>
    </row>
    <row r="129" spans="1:22" ht="25.5" x14ac:dyDescent="0.2">
      <c r="A129" s="178">
        <v>12</v>
      </c>
      <c r="B129" s="180" t="s">
        <v>210</v>
      </c>
      <c r="C129" s="182" t="s">
        <v>55</v>
      </c>
      <c r="D129" s="184">
        <v>6</v>
      </c>
      <c r="E129" s="186"/>
      <c r="F129" s="186"/>
      <c r="G129" s="186"/>
      <c r="H129" s="186"/>
      <c r="I129" s="176"/>
      <c r="J129" s="176"/>
      <c r="K129" s="137"/>
      <c r="L129" s="68"/>
      <c r="M129" s="68"/>
      <c r="N129" s="171">
        <v>8</v>
      </c>
      <c r="O129" s="171"/>
      <c r="P129" s="171"/>
      <c r="Q129" s="171"/>
      <c r="R129" s="171"/>
      <c r="S129" s="26" t="s">
        <v>211</v>
      </c>
      <c r="T129" s="131" t="s">
        <v>55</v>
      </c>
      <c r="U129" s="139">
        <f>N129</f>
        <v>8</v>
      </c>
      <c r="V129" s="131" t="s">
        <v>200</v>
      </c>
    </row>
    <row r="130" spans="1:22" ht="25.5" x14ac:dyDescent="0.2">
      <c r="A130" s="179"/>
      <c r="B130" s="181"/>
      <c r="C130" s="183"/>
      <c r="D130" s="185"/>
      <c r="E130" s="186"/>
      <c r="F130" s="186"/>
      <c r="G130" s="186"/>
      <c r="H130" s="186"/>
      <c r="I130" s="176"/>
      <c r="J130" s="176"/>
      <c r="K130" s="137"/>
      <c r="L130" s="68"/>
      <c r="M130" s="68"/>
      <c r="N130" s="172"/>
      <c r="O130" s="172"/>
      <c r="P130" s="172"/>
      <c r="Q130" s="172"/>
      <c r="R130" s="172"/>
      <c r="S130" s="26" t="s">
        <v>212</v>
      </c>
      <c r="T130" s="131" t="s">
        <v>55</v>
      </c>
      <c r="U130" s="139">
        <f>N129</f>
        <v>8</v>
      </c>
      <c r="V130" s="131" t="s">
        <v>200</v>
      </c>
    </row>
    <row r="131" spans="1:22" ht="25.5" x14ac:dyDescent="0.2">
      <c r="A131" s="164">
        <v>13</v>
      </c>
      <c r="B131" s="166" t="s">
        <v>213</v>
      </c>
      <c r="C131" s="164" t="s">
        <v>55</v>
      </c>
      <c r="D131" s="165">
        <v>6</v>
      </c>
      <c r="E131" s="149"/>
      <c r="F131" s="149"/>
      <c r="G131" s="149"/>
      <c r="H131" s="149"/>
      <c r="I131" s="139"/>
      <c r="J131" s="139"/>
      <c r="K131" s="137"/>
      <c r="L131" s="68"/>
      <c r="M131" s="68"/>
      <c r="N131" s="142">
        <v>8</v>
      </c>
      <c r="O131" s="148"/>
      <c r="P131" s="148"/>
      <c r="Q131" s="131"/>
      <c r="R131" s="125"/>
      <c r="S131" s="26" t="s">
        <v>214</v>
      </c>
      <c r="T131" s="131" t="s">
        <v>55</v>
      </c>
      <c r="U131" s="139">
        <f>N131</f>
        <v>8</v>
      </c>
      <c r="V131" s="131" t="s">
        <v>200</v>
      </c>
    </row>
    <row r="132" spans="1:22" ht="25.5" x14ac:dyDescent="0.2">
      <c r="A132" s="178">
        <v>14</v>
      </c>
      <c r="B132" s="196" t="s">
        <v>215</v>
      </c>
      <c r="C132" s="178" t="s">
        <v>55</v>
      </c>
      <c r="D132" s="184">
        <f>U132</f>
        <v>1</v>
      </c>
      <c r="E132" s="186"/>
      <c r="F132" s="186"/>
      <c r="G132" s="186"/>
      <c r="H132" s="186"/>
      <c r="I132" s="186"/>
      <c r="J132" s="186"/>
      <c r="K132" s="186"/>
      <c r="L132" s="186"/>
      <c r="M132" s="186"/>
      <c r="N132" s="184">
        <v>1</v>
      </c>
      <c r="O132" s="198"/>
      <c r="P132" s="198"/>
      <c r="Q132" s="198"/>
      <c r="R132" s="198"/>
      <c r="S132" s="26" t="s">
        <v>216</v>
      </c>
      <c r="T132" s="131" t="s">
        <v>55</v>
      </c>
      <c r="U132" s="139">
        <f>N132</f>
        <v>1</v>
      </c>
      <c r="V132" s="131" t="s">
        <v>200</v>
      </c>
    </row>
    <row r="133" spans="1:22" ht="25.5" x14ac:dyDescent="0.2">
      <c r="A133" s="195"/>
      <c r="B133" s="197"/>
      <c r="C133" s="195"/>
      <c r="D133" s="275"/>
      <c r="E133" s="186"/>
      <c r="F133" s="186"/>
      <c r="G133" s="186"/>
      <c r="H133" s="186"/>
      <c r="I133" s="186"/>
      <c r="J133" s="186"/>
      <c r="K133" s="186"/>
      <c r="L133" s="186"/>
      <c r="M133" s="186"/>
      <c r="N133" s="275"/>
      <c r="O133" s="199"/>
      <c r="P133" s="199"/>
      <c r="Q133" s="199"/>
      <c r="R133" s="199"/>
      <c r="S133" s="26" t="s">
        <v>217</v>
      </c>
      <c r="T133" s="131" t="s">
        <v>55</v>
      </c>
      <c r="U133" s="139">
        <f>N132</f>
        <v>1</v>
      </c>
      <c r="V133" s="131" t="s">
        <v>200</v>
      </c>
    </row>
    <row r="134" spans="1:22" ht="25.5" x14ac:dyDescent="0.2">
      <c r="A134" s="159">
        <v>15</v>
      </c>
      <c r="B134" s="26" t="s">
        <v>218</v>
      </c>
      <c r="C134" s="131" t="s">
        <v>55</v>
      </c>
      <c r="D134" s="139">
        <v>1</v>
      </c>
      <c r="E134" s="149"/>
      <c r="F134" s="131"/>
      <c r="G134" s="139"/>
      <c r="H134" s="131"/>
      <c r="I134" s="130"/>
      <c r="J134" s="130"/>
      <c r="K134" s="137"/>
      <c r="L134" s="68"/>
      <c r="M134" s="68"/>
      <c r="N134" s="142">
        <v>1</v>
      </c>
      <c r="O134" s="148"/>
      <c r="P134" s="148"/>
      <c r="Q134" s="131"/>
      <c r="R134" s="125"/>
      <c r="S134" s="26" t="s">
        <v>219</v>
      </c>
      <c r="T134" s="131" t="s">
        <v>22</v>
      </c>
      <c r="U134" s="139">
        <v>1</v>
      </c>
      <c r="V134" s="131" t="s">
        <v>200</v>
      </c>
    </row>
    <row r="135" spans="1:22" ht="31.5" x14ac:dyDescent="0.2">
      <c r="A135" s="23"/>
      <c r="B135" s="30" t="s">
        <v>171</v>
      </c>
      <c r="C135" s="23"/>
      <c r="D135" s="23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23"/>
      <c r="R135" s="28"/>
      <c r="S135" s="23"/>
      <c r="T135" s="23"/>
      <c r="U135" s="23"/>
      <c r="V135" s="23"/>
    </row>
    <row r="136" spans="1:22" ht="15" x14ac:dyDescent="0.2">
      <c r="A136" s="65">
        <v>1</v>
      </c>
      <c r="B136" s="22" t="s">
        <v>169</v>
      </c>
      <c r="C136" s="19" t="s">
        <v>69</v>
      </c>
      <c r="D136" s="64">
        <f>1.5*0.7*0.1*2</f>
        <v>0.20999999999999996</v>
      </c>
      <c r="E136" s="64"/>
      <c r="F136" s="64"/>
      <c r="G136" s="64"/>
      <c r="H136" s="64">
        <f>SUM(D136:G136)</f>
        <v>0.20999999999999996</v>
      </c>
      <c r="I136" s="69"/>
      <c r="J136" s="69"/>
      <c r="K136" s="69"/>
      <c r="L136" s="39"/>
      <c r="M136" s="39"/>
      <c r="N136" s="95">
        <f t="shared" ref="N136:N137" si="24">H136-M136</f>
        <v>0.20999999999999996</v>
      </c>
      <c r="O136" s="55" t="s">
        <v>173</v>
      </c>
      <c r="P136" s="63" t="s">
        <v>69</v>
      </c>
      <c r="Q136" s="106">
        <f>N136</f>
        <v>0.20999999999999996</v>
      </c>
      <c r="R136" s="63"/>
      <c r="S136" s="58"/>
      <c r="T136" s="39"/>
      <c r="U136" s="54"/>
      <c r="V136" s="65" t="s">
        <v>11</v>
      </c>
    </row>
    <row r="137" spans="1:22" ht="15" x14ac:dyDescent="0.2">
      <c r="A137" s="65">
        <v>2</v>
      </c>
      <c r="B137" s="22" t="s">
        <v>176</v>
      </c>
      <c r="C137" s="19" t="s">
        <v>69</v>
      </c>
      <c r="D137" s="64">
        <f>0.7*(1.7+1.7+1.7)*0.12</f>
        <v>0.42839999999999989</v>
      </c>
      <c r="E137" s="64"/>
      <c r="F137" s="64"/>
      <c r="G137" s="64"/>
      <c r="H137" s="64">
        <f>SUM(D137:G137)</f>
        <v>0.42839999999999989</v>
      </c>
      <c r="I137" s="69"/>
      <c r="J137" s="69"/>
      <c r="K137" s="69"/>
      <c r="L137" s="39"/>
      <c r="M137" s="39"/>
      <c r="N137" s="95">
        <f t="shared" si="24"/>
        <v>0.42839999999999989</v>
      </c>
      <c r="O137" s="55" t="s">
        <v>173</v>
      </c>
      <c r="P137" s="109" t="s">
        <v>69</v>
      </c>
      <c r="Q137" s="106">
        <f>N137</f>
        <v>0.42839999999999989</v>
      </c>
      <c r="R137" s="63"/>
      <c r="S137" s="58"/>
      <c r="T137" s="39"/>
      <c r="U137" s="54"/>
      <c r="V137" s="131" t="s">
        <v>11</v>
      </c>
    </row>
    <row r="138" spans="1:22" ht="15" x14ac:dyDescent="0.2">
      <c r="A138" s="51">
        <v>3</v>
      </c>
      <c r="B138" s="107" t="s">
        <v>177</v>
      </c>
      <c r="C138" s="20" t="s">
        <v>69</v>
      </c>
      <c r="D138" s="92">
        <v>0.2</v>
      </c>
      <c r="E138" s="92"/>
      <c r="F138" s="92"/>
      <c r="G138" s="92"/>
      <c r="H138" s="92"/>
      <c r="I138" s="59"/>
      <c r="J138" s="59"/>
      <c r="K138" s="59"/>
      <c r="L138" s="53"/>
      <c r="M138" s="53"/>
      <c r="N138" s="104">
        <v>0.2</v>
      </c>
      <c r="O138" s="60"/>
      <c r="P138" s="62"/>
      <c r="Q138" s="108"/>
      <c r="R138" s="62"/>
      <c r="S138" s="58"/>
      <c r="T138" s="39"/>
      <c r="U138" s="54"/>
      <c r="V138" s="131" t="s">
        <v>11</v>
      </c>
    </row>
    <row r="139" spans="1:22" ht="15" x14ac:dyDescent="0.2">
      <c r="A139" s="182">
        <v>4</v>
      </c>
      <c r="B139" s="187" t="s">
        <v>172</v>
      </c>
      <c r="C139" s="192" t="s">
        <v>69</v>
      </c>
      <c r="D139" s="200">
        <f>D136</f>
        <v>0.20999999999999996</v>
      </c>
      <c r="E139" s="192"/>
      <c r="F139" s="192"/>
      <c r="G139" s="192"/>
      <c r="H139" s="192"/>
      <c r="I139" s="192"/>
      <c r="J139" s="192"/>
      <c r="K139" s="192"/>
      <c r="L139" s="192"/>
      <c r="M139" s="192"/>
      <c r="N139" s="192">
        <f>N136</f>
        <v>0.20999999999999996</v>
      </c>
      <c r="O139" s="192"/>
      <c r="P139" s="192"/>
      <c r="Q139" s="192"/>
      <c r="R139" s="192"/>
      <c r="S139" s="27" t="s">
        <v>174</v>
      </c>
      <c r="T139" s="130" t="s">
        <v>69</v>
      </c>
      <c r="U139" s="54">
        <f>N139</f>
        <v>0.20999999999999996</v>
      </c>
      <c r="V139" s="131" t="s">
        <v>11</v>
      </c>
    </row>
    <row r="140" spans="1:22" ht="25.5" x14ac:dyDescent="0.2">
      <c r="A140" s="183"/>
      <c r="B140" s="188"/>
      <c r="C140" s="193"/>
      <c r="D140" s="201"/>
      <c r="E140" s="193"/>
      <c r="F140" s="193"/>
      <c r="G140" s="193"/>
      <c r="H140" s="193"/>
      <c r="I140" s="193"/>
      <c r="J140" s="193"/>
      <c r="K140" s="193"/>
      <c r="L140" s="193"/>
      <c r="M140" s="193"/>
      <c r="N140" s="193"/>
      <c r="O140" s="193"/>
      <c r="P140" s="193"/>
      <c r="Q140" s="193"/>
      <c r="R140" s="193"/>
      <c r="S140" s="27" t="s">
        <v>181</v>
      </c>
      <c r="T140" s="130" t="s">
        <v>70</v>
      </c>
      <c r="U140" s="54">
        <f>4.44*(0.7*1.5*2)/1000</f>
        <v>9.3240000000000007E-3</v>
      </c>
      <c r="V140" s="131" t="s">
        <v>11</v>
      </c>
    </row>
    <row r="141" spans="1:22" ht="15" x14ac:dyDescent="0.2">
      <c r="A141" s="190"/>
      <c r="B141" s="189"/>
      <c r="C141" s="194"/>
      <c r="D141" s="202"/>
      <c r="E141" s="194"/>
      <c r="F141" s="194"/>
      <c r="G141" s="194"/>
      <c r="H141" s="194"/>
      <c r="I141" s="194"/>
      <c r="J141" s="194"/>
      <c r="K141" s="194"/>
      <c r="L141" s="194"/>
      <c r="M141" s="194"/>
      <c r="N141" s="194"/>
      <c r="O141" s="194"/>
      <c r="P141" s="194"/>
      <c r="Q141" s="194"/>
      <c r="R141" s="194"/>
      <c r="S141" s="27" t="s">
        <v>170</v>
      </c>
      <c r="T141" s="130" t="s">
        <v>69</v>
      </c>
      <c r="U141" s="54">
        <f>U139</f>
        <v>0.20999999999999996</v>
      </c>
      <c r="V141" s="131" t="s">
        <v>11</v>
      </c>
    </row>
    <row r="142" spans="1:22" ht="25.5" customHeight="1" x14ac:dyDescent="0.2">
      <c r="A142" s="182">
        <v>5</v>
      </c>
      <c r="B142" s="187" t="s">
        <v>178</v>
      </c>
      <c r="C142" s="192" t="s">
        <v>69</v>
      </c>
      <c r="D142" s="174">
        <v>0.7</v>
      </c>
      <c r="E142" s="174">
        <f>(1.65*2+1.8)*0.8*0.15</f>
        <v>0.61199999999999999</v>
      </c>
      <c r="F142" s="174"/>
      <c r="G142" s="174"/>
      <c r="H142" s="174">
        <f>D142</f>
        <v>0.7</v>
      </c>
      <c r="I142" s="174"/>
      <c r="J142" s="174"/>
      <c r="K142" s="174"/>
      <c r="L142" s="174"/>
      <c r="M142" s="174"/>
      <c r="N142" s="174">
        <f t="shared" ref="N142" si="25">H142-M142</f>
        <v>0.7</v>
      </c>
      <c r="O142" s="174"/>
      <c r="P142" s="174"/>
      <c r="Q142" s="174"/>
      <c r="R142" s="174"/>
      <c r="S142" s="27" t="s">
        <v>174</v>
      </c>
      <c r="T142" s="130" t="s">
        <v>69</v>
      </c>
      <c r="U142" s="54">
        <f>N142</f>
        <v>0.7</v>
      </c>
      <c r="V142" s="131" t="s">
        <v>11</v>
      </c>
    </row>
    <row r="143" spans="1:22" ht="25.5" customHeight="1" x14ac:dyDescent="0.2">
      <c r="A143" s="183"/>
      <c r="B143" s="188"/>
      <c r="C143" s="193"/>
      <c r="D143" s="191"/>
      <c r="E143" s="191"/>
      <c r="F143" s="191"/>
      <c r="G143" s="191"/>
      <c r="H143" s="191"/>
      <c r="I143" s="191"/>
      <c r="J143" s="191"/>
      <c r="K143" s="191"/>
      <c r="L143" s="191"/>
      <c r="M143" s="191"/>
      <c r="N143" s="191"/>
      <c r="O143" s="191"/>
      <c r="P143" s="191"/>
      <c r="Q143" s="191"/>
      <c r="R143" s="191"/>
      <c r="S143" s="27" t="s">
        <v>175</v>
      </c>
      <c r="T143" s="130" t="s">
        <v>70</v>
      </c>
      <c r="U143" s="54">
        <f>(4.44*(1.65*2+1.8)*0.7)/1000</f>
        <v>1.5850799999999998E-2</v>
      </c>
      <c r="V143" s="131" t="s">
        <v>11</v>
      </c>
    </row>
    <row r="144" spans="1:22" ht="15" x14ac:dyDescent="0.2">
      <c r="A144" s="183"/>
      <c r="B144" s="188"/>
      <c r="C144" s="193"/>
      <c r="D144" s="191"/>
      <c r="E144" s="191"/>
      <c r="F144" s="191"/>
      <c r="G144" s="191"/>
      <c r="H144" s="191"/>
      <c r="I144" s="191"/>
      <c r="J144" s="191"/>
      <c r="K144" s="191"/>
      <c r="L144" s="191"/>
      <c r="M144" s="191"/>
      <c r="N144" s="191"/>
      <c r="O144" s="191"/>
      <c r="P144" s="191"/>
      <c r="Q144" s="191"/>
      <c r="R144" s="191"/>
      <c r="S144" s="27" t="s">
        <v>170</v>
      </c>
      <c r="T144" s="130" t="s">
        <v>69</v>
      </c>
      <c r="U144" s="54">
        <v>0.2</v>
      </c>
      <c r="V144" s="131" t="s">
        <v>11</v>
      </c>
    </row>
    <row r="145" spans="1:22" ht="15" x14ac:dyDescent="0.2">
      <c r="A145" s="183"/>
      <c r="B145" s="188"/>
      <c r="C145" s="193"/>
      <c r="D145" s="191"/>
      <c r="E145" s="191"/>
      <c r="F145" s="191"/>
      <c r="G145" s="191"/>
      <c r="H145" s="191"/>
      <c r="I145" s="191"/>
      <c r="J145" s="191"/>
      <c r="K145" s="191"/>
      <c r="L145" s="191"/>
      <c r="M145" s="191"/>
      <c r="N145" s="191"/>
      <c r="O145" s="191"/>
      <c r="P145" s="191"/>
      <c r="Q145" s="191"/>
      <c r="R145" s="191"/>
      <c r="S145" s="27" t="s">
        <v>182</v>
      </c>
      <c r="T145" s="130" t="s">
        <v>70</v>
      </c>
      <c r="U145" s="61">
        <f>47.1* (0.15*0.15*4)/1000</f>
        <v>4.2389999999999997E-3</v>
      </c>
      <c r="V145" s="131" t="s">
        <v>11</v>
      </c>
    </row>
    <row r="146" spans="1:22" ht="25.5" x14ac:dyDescent="0.2">
      <c r="A146" s="190"/>
      <c r="B146" s="189"/>
      <c r="C146" s="194"/>
      <c r="D146" s="175"/>
      <c r="E146" s="175"/>
      <c r="F146" s="175"/>
      <c r="G146" s="175"/>
      <c r="H146" s="175"/>
      <c r="I146" s="175"/>
      <c r="J146" s="175"/>
      <c r="K146" s="175"/>
      <c r="L146" s="175"/>
      <c r="M146" s="175"/>
      <c r="N146" s="175"/>
      <c r="O146" s="175"/>
      <c r="P146" s="175"/>
      <c r="Q146" s="175"/>
      <c r="R146" s="175"/>
      <c r="S146" s="27" t="s">
        <v>183</v>
      </c>
      <c r="T146" s="130" t="s">
        <v>70</v>
      </c>
      <c r="U146" s="61">
        <f>0.616*0.5*8/1000</f>
        <v>2.464E-3</v>
      </c>
      <c r="V146" s="131" t="s">
        <v>11</v>
      </c>
    </row>
    <row r="147" spans="1:22" ht="25.5" x14ac:dyDescent="0.2">
      <c r="A147" s="182">
        <v>6</v>
      </c>
      <c r="B147" s="187" t="s">
        <v>179</v>
      </c>
      <c r="C147" s="182" t="s">
        <v>5</v>
      </c>
      <c r="D147" s="182">
        <f>2.4*2.25</f>
        <v>5.3999999999999995</v>
      </c>
      <c r="E147" s="182"/>
      <c r="F147" s="182"/>
      <c r="G147" s="182"/>
      <c r="H147" s="182">
        <f>D147</f>
        <v>5.3999999999999995</v>
      </c>
      <c r="I147" s="182"/>
      <c r="J147" s="182"/>
      <c r="K147" s="182"/>
      <c r="L147" s="182"/>
      <c r="M147" s="182"/>
      <c r="N147" s="182">
        <f t="shared" ref="N147" si="26">H147-M147</f>
        <v>5.3999999999999995</v>
      </c>
      <c r="O147" s="182"/>
      <c r="P147" s="182"/>
      <c r="Q147" s="182"/>
      <c r="R147" s="182"/>
      <c r="S147" s="27" t="s">
        <v>184</v>
      </c>
      <c r="T147" s="130" t="s">
        <v>70</v>
      </c>
      <c r="U147" s="167">
        <f>((2*(2.9+2.25+2.2)+1.8)*8.96)/1000+0.002</f>
        <v>0.14984</v>
      </c>
      <c r="V147" s="131" t="s">
        <v>11</v>
      </c>
    </row>
    <row r="148" spans="1:22" ht="15" x14ac:dyDescent="0.2">
      <c r="A148" s="183"/>
      <c r="B148" s="188"/>
      <c r="C148" s="183"/>
      <c r="D148" s="183"/>
      <c r="E148" s="183"/>
      <c r="F148" s="183"/>
      <c r="G148" s="183"/>
      <c r="H148" s="183"/>
      <c r="I148" s="183"/>
      <c r="J148" s="183"/>
      <c r="K148" s="183"/>
      <c r="L148" s="183"/>
      <c r="M148" s="183"/>
      <c r="N148" s="183"/>
      <c r="O148" s="183"/>
      <c r="P148" s="183"/>
      <c r="Q148" s="183"/>
      <c r="R148" s="183"/>
      <c r="S148" s="27" t="s">
        <v>226</v>
      </c>
      <c r="T148" s="130" t="s">
        <v>55</v>
      </c>
      <c r="U148" s="54">
        <v>4</v>
      </c>
      <c r="V148" s="131" t="s">
        <v>11</v>
      </c>
    </row>
    <row r="149" spans="1:22" ht="25.5" x14ac:dyDescent="0.2">
      <c r="A149" s="183"/>
      <c r="B149" s="188"/>
      <c r="C149" s="183"/>
      <c r="D149" s="183"/>
      <c r="E149" s="183"/>
      <c r="F149" s="183"/>
      <c r="G149" s="183"/>
      <c r="H149" s="183"/>
      <c r="I149" s="183"/>
      <c r="J149" s="183"/>
      <c r="K149" s="183"/>
      <c r="L149" s="183"/>
      <c r="M149" s="183"/>
      <c r="N149" s="183"/>
      <c r="O149" s="183"/>
      <c r="P149" s="183"/>
      <c r="Q149" s="183"/>
      <c r="R149" s="183"/>
      <c r="S149" s="27" t="s">
        <v>227</v>
      </c>
      <c r="T149" s="130" t="s">
        <v>5</v>
      </c>
      <c r="U149" s="54">
        <f>2.25*2.4*1.2</f>
        <v>6.4799999999999995</v>
      </c>
      <c r="V149" s="131" t="s">
        <v>11</v>
      </c>
    </row>
    <row r="150" spans="1:22" ht="15" x14ac:dyDescent="0.2">
      <c r="A150" s="183"/>
      <c r="B150" s="188"/>
      <c r="C150" s="183"/>
      <c r="D150" s="183"/>
      <c r="E150" s="183"/>
      <c r="F150" s="183"/>
      <c r="G150" s="183"/>
      <c r="H150" s="183"/>
      <c r="I150" s="183"/>
      <c r="J150" s="183"/>
      <c r="K150" s="183"/>
      <c r="L150" s="183"/>
      <c r="M150" s="183"/>
      <c r="N150" s="183"/>
      <c r="O150" s="183"/>
      <c r="P150" s="183"/>
      <c r="Q150" s="183"/>
      <c r="R150" s="183"/>
      <c r="S150" s="168" t="s">
        <v>180</v>
      </c>
      <c r="T150" s="119" t="s">
        <v>69</v>
      </c>
      <c r="U150" s="122">
        <f>2.5*2.3*0.04+0.02</f>
        <v>0.25</v>
      </c>
      <c r="V150" s="131" t="s">
        <v>11</v>
      </c>
    </row>
    <row r="151" spans="1:22" ht="38.25" x14ac:dyDescent="0.2">
      <c r="A151" s="183"/>
      <c r="B151" s="188"/>
      <c r="C151" s="183"/>
      <c r="D151" s="183"/>
      <c r="E151" s="183"/>
      <c r="F151" s="183"/>
      <c r="G151" s="183"/>
      <c r="H151" s="183"/>
      <c r="I151" s="183"/>
      <c r="J151" s="183"/>
      <c r="K151" s="183"/>
      <c r="L151" s="183"/>
      <c r="M151" s="183"/>
      <c r="N151" s="183"/>
      <c r="O151" s="183"/>
      <c r="P151" s="183"/>
      <c r="Q151" s="183"/>
      <c r="R151" s="183"/>
      <c r="S151" s="58" t="s">
        <v>186</v>
      </c>
      <c r="T151" s="39" t="s">
        <v>5</v>
      </c>
      <c r="U151" s="54">
        <f>2.4*0.3</f>
        <v>0.72</v>
      </c>
      <c r="V151" s="131" t="s">
        <v>11</v>
      </c>
    </row>
    <row r="152" spans="1:22" ht="25.5" x14ac:dyDescent="0.2">
      <c r="A152" s="190"/>
      <c r="B152" s="189"/>
      <c r="C152" s="190"/>
      <c r="D152" s="190"/>
      <c r="E152" s="190"/>
      <c r="F152" s="190"/>
      <c r="G152" s="190"/>
      <c r="H152" s="190"/>
      <c r="I152" s="190"/>
      <c r="J152" s="190"/>
      <c r="K152" s="190"/>
      <c r="L152" s="190"/>
      <c r="M152" s="190"/>
      <c r="N152" s="190"/>
      <c r="O152" s="190"/>
      <c r="P152" s="190"/>
      <c r="Q152" s="190"/>
      <c r="R152" s="190"/>
      <c r="S152" s="58" t="s">
        <v>187</v>
      </c>
      <c r="T152" s="39" t="s">
        <v>60</v>
      </c>
      <c r="U152" s="54">
        <v>2.4</v>
      </c>
      <c r="V152" s="131" t="s">
        <v>11</v>
      </c>
    </row>
    <row r="153" spans="1:22" ht="15" x14ac:dyDescent="0.2">
      <c r="A153" s="65">
        <v>7</v>
      </c>
      <c r="B153" s="22" t="s">
        <v>194</v>
      </c>
      <c r="C153" s="19" t="s">
        <v>5</v>
      </c>
      <c r="D153" s="64">
        <f>0.4*15+1</f>
        <v>7</v>
      </c>
      <c r="E153" s="64"/>
      <c r="F153" s="64"/>
      <c r="G153" s="64"/>
      <c r="H153" s="64">
        <f t="shared" ref="H153:H154" si="27">SUM(D153:G153)</f>
        <v>7</v>
      </c>
      <c r="I153" s="69"/>
      <c r="J153" s="69"/>
      <c r="K153" s="69"/>
      <c r="L153" s="39"/>
      <c r="M153" s="39"/>
      <c r="N153" s="95">
        <f t="shared" ref="N153:N154" si="28">H153-M153</f>
        <v>7</v>
      </c>
      <c r="O153" s="63"/>
      <c r="P153" s="63"/>
      <c r="Q153" s="63"/>
      <c r="R153" s="63"/>
      <c r="S153" s="58" t="s">
        <v>185</v>
      </c>
      <c r="T153" s="39" t="s">
        <v>70</v>
      </c>
      <c r="U153" s="61">
        <v>1E-3</v>
      </c>
      <c r="V153" s="131" t="s">
        <v>11</v>
      </c>
    </row>
    <row r="154" spans="1:22" ht="25.5" x14ac:dyDescent="0.2">
      <c r="A154" s="65">
        <v>8</v>
      </c>
      <c r="B154" s="22" t="s">
        <v>188</v>
      </c>
      <c r="C154" s="19" t="s">
        <v>5</v>
      </c>
      <c r="D154" s="64">
        <f>2.4*2.4*1.25+0.8</f>
        <v>7.9999999999999991</v>
      </c>
      <c r="E154" s="64"/>
      <c r="F154" s="64"/>
      <c r="G154" s="64"/>
      <c r="H154" s="64">
        <f t="shared" si="27"/>
        <v>7.9999999999999991</v>
      </c>
      <c r="I154" s="69"/>
      <c r="J154" s="69"/>
      <c r="K154" s="69"/>
      <c r="L154" s="39"/>
      <c r="M154" s="39"/>
      <c r="N154" s="95">
        <f t="shared" si="28"/>
        <v>7.9999999999999991</v>
      </c>
      <c r="O154" s="63"/>
      <c r="P154" s="63"/>
      <c r="Q154" s="63"/>
      <c r="R154" s="63"/>
      <c r="S154" s="58" t="s">
        <v>189</v>
      </c>
      <c r="T154" s="39" t="s">
        <v>70</v>
      </c>
      <c r="U154" s="169">
        <v>1.4E-3</v>
      </c>
      <c r="V154" s="131" t="s">
        <v>11</v>
      </c>
    </row>
    <row r="155" spans="1:22" ht="15" x14ac:dyDescent="0.2">
      <c r="A155" s="65">
        <v>9</v>
      </c>
      <c r="B155" s="22" t="s">
        <v>190</v>
      </c>
      <c r="C155" s="19" t="s">
        <v>5</v>
      </c>
      <c r="D155" s="64">
        <v>10</v>
      </c>
      <c r="E155" s="64"/>
      <c r="F155" s="64"/>
      <c r="G155" s="64"/>
      <c r="H155" s="64">
        <f t="shared" ref="H155" si="29">SUM(D155:G155)</f>
        <v>10</v>
      </c>
      <c r="I155" s="69"/>
      <c r="J155" s="69"/>
      <c r="K155" s="69"/>
      <c r="L155" s="39"/>
      <c r="M155" s="39"/>
      <c r="N155" s="95">
        <f t="shared" ref="N155" si="30">H155-M155</f>
        <v>10</v>
      </c>
      <c r="O155" s="63"/>
      <c r="P155" s="63"/>
      <c r="Q155" s="63"/>
      <c r="R155" s="63"/>
      <c r="S155" s="58" t="s">
        <v>191</v>
      </c>
      <c r="T155" s="39" t="s">
        <v>69</v>
      </c>
      <c r="U155" s="54">
        <v>1</v>
      </c>
      <c r="V155" s="131" t="s">
        <v>11</v>
      </c>
    </row>
    <row r="156" spans="1:22" ht="15.75" x14ac:dyDescent="0.2">
      <c r="A156" s="31"/>
      <c r="B156" s="32" t="s">
        <v>37</v>
      </c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4"/>
      <c r="P156" s="33"/>
      <c r="Q156" s="33"/>
      <c r="R156" s="33"/>
      <c r="S156" s="34"/>
      <c r="T156" s="33"/>
      <c r="U156" s="33"/>
      <c r="V156" s="33"/>
    </row>
    <row r="157" spans="1:22" x14ac:dyDescent="0.2">
      <c r="A157" s="19" t="s">
        <v>9</v>
      </c>
      <c r="B157" s="24" t="s">
        <v>41</v>
      </c>
      <c r="C157" s="25" t="s">
        <v>232</v>
      </c>
      <c r="D157" s="25"/>
      <c r="E157" s="25"/>
      <c r="F157" s="25"/>
      <c r="G157" s="25"/>
      <c r="H157" s="25"/>
      <c r="I157" s="25"/>
      <c r="J157" s="25"/>
      <c r="K157" s="25"/>
      <c r="L157" s="25"/>
      <c r="M157" s="25"/>
      <c r="N157" s="95">
        <v>25</v>
      </c>
      <c r="O157" s="19"/>
      <c r="P157" s="19"/>
      <c r="Q157" s="19"/>
      <c r="R157" s="19"/>
      <c r="S157" s="22"/>
      <c r="T157" s="19"/>
      <c r="U157" s="19"/>
      <c r="V157" s="19" t="s">
        <v>11</v>
      </c>
    </row>
    <row r="158" spans="1:22" ht="25.5" x14ac:dyDescent="0.2">
      <c r="A158" s="19" t="s">
        <v>10</v>
      </c>
      <c r="B158" s="24" t="s">
        <v>42</v>
      </c>
      <c r="C158" s="19" t="s">
        <v>39</v>
      </c>
      <c r="D158" s="19"/>
      <c r="E158" s="19"/>
      <c r="F158" s="19"/>
      <c r="G158" s="19"/>
      <c r="H158" s="19"/>
      <c r="I158" s="19"/>
      <c r="J158" s="19"/>
      <c r="K158" s="19"/>
      <c r="L158" s="19"/>
      <c r="M158" s="19"/>
      <c r="N158" s="95">
        <v>0.5</v>
      </c>
      <c r="O158" s="22"/>
      <c r="P158" s="19"/>
      <c r="Q158" s="19"/>
      <c r="R158" s="19"/>
      <c r="S158" s="22"/>
      <c r="T158" s="21"/>
      <c r="U158" s="19"/>
      <c r="V158" s="19" t="s">
        <v>11</v>
      </c>
    </row>
    <row r="159" spans="1:22" ht="25.5" x14ac:dyDescent="0.2">
      <c r="A159" s="19" t="s">
        <v>16</v>
      </c>
      <c r="B159" s="22" t="s">
        <v>38</v>
      </c>
      <c r="C159" s="19" t="s">
        <v>39</v>
      </c>
      <c r="D159" s="19"/>
      <c r="E159" s="19"/>
      <c r="F159" s="19"/>
      <c r="G159" s="19"/>
      <c r="H159" s="19"/>
      <c r="I159" s="19"/>
      <c r="J159" s="19"/>
      <c r="K159" s="19"/>
      <c r="L159" s="19"/>
      <c r="M159" s="19"/>
      <c r="N159" s="95">
        <v>3</v>
      </c>
      <c r="O159" s="19"/>
      <c r="P159" s="19"/>
      <c r="Q159" s="19"/>
      <c r="R159" s="19"/>
      <c r="S159" s="22"/>
      <c r="T159" s="19"/>
      <c r="U159" s="19"/>
      <c r="V159" s="19" t="s">
        <v>11</v>
      </c>
    </row>
    <row r="161" spans="1:22" ht="15.75" x14ac:dyDescent="0.25">
      <c r="A161" s="170" t="s">
        <v>252</v>
      </c>
      <c r="B161" s="170"/>
      <c r="C161" s="170"/>
      <c r="D161" s="170"/>
      <c r="E161" s="170"/>
      <c r="F161" s="170"/>
      <c r="G161" s="170"/>
      <c r="H161" s="170"/>
      <c r="I161" s="170"/>
      <c r="J161" s="170"/>
      <c r="K161" s="170"/>
      <c r="L161" s="170"/>
      <c r="M161" s="170"/>
      <c r="N161" s="170"/>
      <c r="O161" s="170"/>
      <c r="P161" s="170"/>
      <c r="Q161" s="170"/>
      <c r="R161" s="170"/>
      <c r="S161" s="170"/>
      <c r="T161" s="170"/>
      <c r="U161" s="170"/>
      <c r="V161" s="170"/>
    </row>
    <row r="162" spans="1:22" ht="15.75" x14ac:dyDescent="0.25">
      <c r="A162" s="2"/>
      <c r="B162" s="9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</row>
  </sheetData>
  <mergeCells count="471">
    <mergeCell ref="N38:N39"/>
    <mergeCell ref="O38:O39"/>
    <mergeCell ref="P38:P39"/>
    <mergeCell ref="Q38:Q39"/>
    <mergeCell ref="R38:R39"/>
    <mergeCell ref="A40:A42"/>
    <mergeCell ref="B40:B42"/>
    <mergeCell ref="C40:C42"/>
    <mergeCell ref="N40:N42"/>
    <mergeCell ref="O40:O42"/>
    <mergeCell ref="P40:P42"/>
    <mergeCell ref="Q40:Q42"/>
    <mergeCell ref="R40:R42"/>
    <mergeCell ref="A38:A39"/>
    <mergeCell ref="B38:B39"/>
    <mergeCell ref="C38:C39"/>
    <mergeCell ref="D38:D39"/>
    <mergeCell ref="E38:E39"/>
    <mergeCell ref="F38:F39"/>
    <mergeCell ref="G38:G39"/>
    <mergeCell ref="H38:H39"/>
    <mergeCell ref="I38:I39"/>
    <mergeCell ref="Q132:Q133"/>
    <mergeCell ref="R132:R133"/>
    <mergeCell ref="A77:A78"/>
    <mergeCell ref="B77:B78"/>
    <mergeCell ref="C77:C78"/>
    <mergeCell ref="N77:N78"/>
    <mergeCell ref="O77:O78"/>
    <mergeCell ref="P77:P78"/>
    <mergeCell ref="Q77:Q78"/>
    <mergeCell ref="R77:R78"/>
    <mergeCell ref="C132:C133"/>
    <mergeCell ref="D132:D133"/>
    <mergeCell ref="E132:E133"/>
    <mergeCell ref="F132:F133"/>
    <mergeCell ref="G132:G133"/>
    <mergeCell ref="H132:H133"/>
    <mergeCell ref="N132:N133"/>
    <mergeCell ref="I132:I133"/>
    <mergeCell ref="P95:P97"/>
    <mergeCell ref="Q95:Q97"/>
    <mergeCell ref="R95:R97"/>
    <mergeCell ref="A99:A101"/>
    <mergeCell ref="B99:B101"/>
    <mergeCell ref="C99:C101"/>
    <mergeCell ref="S110:S111"/>
    <mergeCell ref="T110:T111"/>
    <mergeCell ref="U110:U111"/>
    <mergeCell ref="V110:V111"/>
    <mergeCell ref="S127:S128"/>
    <mergeCell ref="T127:T128"/>
    <mergeCell ref="U127:U128"/>
    <mergeCell ref="A116:A117"/>
    <mergeCell ref="B116:B117"/>
    <mergeCell ref="C116:C117"/>
    <mergeCell ref="N116:N117"/>
    <mergeCell ref="B113:B114"/>
    <mergeCell ref="A113:A114"/>
    <mergeCell ref="C113:C114"/>
    <mergeCell ref="D113:D114"/>
    <mergeCell ref="E113:E114"/>
    <mergeCell ref="F113:F114"/>
    <mergeCell ref="G113:G114"/>
    <mergeCell ref="H113:H114"/>
    <mergeCell ref="I113:I114"/>
    <mergeCell ref="A125:A126"/>
    <mergeCell ref="B125:B126"/>
    <mergeCell ref="C125:C126"/>
    <mergeCell ref="D125:D126"/>
    <mergeCell ref="S102:S103"/>
    <mergeCell ref="T102:T103"/>
    <mergeCell ref="U102:U103"/>
    <mergeCell ref="V102:V103"/>
    <mergeCell ref="N99:N101"/>
    <mergeCell ref="O99:O101"/>
    <mergeCell ref="P99:P101"/>
    <mergeCell ref="Q99:Q101"/>
    <mergeCell ref="R99:R101"/>
    <mergeCell ref="O102:O103"/>
    <mergeCell ref="P102:P103"/>
    <mergeCell ref="Q102:Q103"/>
    <mergeCell ref="R102:R103"/>
    <mergeCell ref="D99:D101"/>
    <mergeCell ref="E99:E101"/>
    <mergeCell ref="F99:F101"/>
    <mergeCell ref="G99:G101"/>
    <mergeCell ref="H99:H101"/>
    <mergeCell ref="I99:I101"/>
    <mergeCell ref="J99:J101"/>
    <mergeCell ref="K99:K101"/>
    <mergeCell ref="L99:L101"/>
    <mergeCell ref="M99:M101"/>
    <mergeCell ref="K95:K97"/>
    <mergeCell ref="L95:L97"/>
    <mergeCell ref="M95:M97"/>
    <mergeCell ref="N95:N97"/>
    <mergeCell ref="O95:O97"/>
    <mergeCell ref="F95:F97"/>
    <mergeCell ref="G95:G97"/>
    <mergeCell ref="H95:H97"/>
    <mergeCell ref="I95:I97"/>
    <mergeCell ref="J95:J97"/>
    <mergeCell ref="A95:A97"/>
    <mergeCell ref="B95:B97"/>
    <mergeCell ref="C95:C97"/>
    <mergeCell ref="D95:D97"/>
    <mergeCell ref="E95:E97"/>
    <mergeCell ref="N93:N94"/>
    <mergeCell ref="O93:O94"/>
    <mergeCell ref="P93:P94"/>
    <mergeCell ref="Q93:Q94"/>
    <mergeCell ref="R93:R94"/>
    <mergeCell ref="P88:P89"/>
    <mergeCell ref="Q88:Q89"/>
    <mergeCell ref="R88:R89"/>
    <mergeCell ref="A93:A94"/>
    <mergeCell ref="B93:B94"/>
    <mergeCell ref="C93:C94"/>
    <mergeCell ref="D93:D94"/>
    <mergeCell ref="E93:E94"/>
    <mergeCell ref="F93:F94"/>
    <mergeCell ref="G93:G94"/>
    <mergeCell ref="H93:H94"/>
    <mergeCell ref="I93:I94"/>
    <mergeCell ref="J93:J94"/>
    <mergeCell ref="K93:K94"/>
    <mergeCell ref="L93:L94"/>
    <mergeCell ref="M93:M94"/>
    <mergeCell ref="K88:K89"/>
    <mergeCell ref="L88:L89"/>
    <mergeCell ref="M88:M89"/>
    <mergeCell ref="N88:N92"/>
    <mergeCell ref="O88:O89"/>
    <mergeCell ref="A80:A87"/>
    <mergeCell ref="B80:B87"/>
    <mergeCell ref="C80:C87"/>
    <mergeCell ref="N80:N87"/>
    <mergeCell ref="A88:A92"/>
    <mergeCell ref="B88:B92"/>
    <mergeCell ref="C88:C92"/>
    <mergeCell ref="F88:F89"/>
    <mergeCell ref="G88:G89"/>
    <mergeCell ref="H88:H89"/>
    <mergeCell ref="I88:I89"/>
    <mergeCell ref="J88:J89"/>
    <mergeCell ref="M73:M74"/>
    <mergeCell ref="N73:N74"/>
    <mergeCell ref="A75:A76"/>
    <mergeCell ref="B75:B76"/>
    <mergeCell ref="C75:C76"/>
    <mergeCell ref="D75:D76"/>
    <mergeCell ref="A73:A74"/>
    <mergeCell ref="B73:B74"/>
    <mergeCell ref="C73:C74"/>
    <mergeCell ref="D73:D74"/>
    <mergeCell ref="E73:E74"/>
    <mergeCell ref="J75:J76"/>
    <mergeCell ref="K75:K76"/>
    <mergeCell ref="L75:L76"/>
    <mergeCell ref="M75:M76"/>
    <mergeCell ref="N75:N76"/>
    <mergeCell ref="E75:E76"/>
    <mergeCell ref="F75:F76"/>
    <mergeCell ref="G75:G76"/>
    <mergeCell ref="H75:H76"/>
    <mergeCell ref="I75:I76"/>
    <mergeCell ref="A71:A72"/>
    <mergeCell ref="B71:B72"/>
    <mergeCell ref="C71:C72"/>
    <mergeCell ref="D71:D72"/>
    <mergeCell ref="E71:E72"/>
    <mergeCell ref="F71:F72"/>
    <mergeCell ref="G71:G72"/>
    <mergeCell ref="H71:H72"/>
    <mergeCell ref="I71:I72"/>
    <mergeCell ref="P68:P69"/>
    <mergeCell ref="Q68:Q69"/>
    <mergeCell ref="R68:R69"/>
    <mergeCell ref="O75:O76"/>
    <mergeCell ref="P75:P76"/>
    <mergeCell ref="Q75:Q76"/>
    <mergeCell ref="R75:R76"/>
    <mergeCell ref="E68:E69"/>
    <mergeCell ref="F68:F69"/>
    <mergeCell ref="G68:G69"/>
    <mergeCell ref="H68:H69"/>
    <mergeCell ref="I68:I69"/>
    <mergeCell ref="N71:N72"/>
    <mergeCell ref="J71:J72"/>
    <mergeCell ref="K71:K72"/>
    <mergeCell ref="L71:L72"/>
    <mergeCell ref="M71:M72"/>
    <mergeCell ref="F73:F74"/>
    <mergeCell ref="G73:G74"/>
    <mergeCell ref="H73:H74"/>
    <mergeCell ref="I73:I74"/>
    <mergeCell ref="J73:J74"/>
    <mergeCell ref="K73:K74"/>
    <mergeCell ref="L73:L74"/>
    <mergeCell ref="L68:L69"/>
    <mergeCell ref="M68:M69"/>
    <mergeCell ref="N68:N69"/>
    <mergeCell ref="J65:J66"/>
    <mergeCell ref="K65:K66"/>
    <mergeCell ref="L65:L66"/>
    <mergeCell ref="M65:M66"/>
    <mergeCell ref="N65:N66"/>
    <mergeCell ref="O68:O69"/>
    <mergeCell ref="A68:A69"/>
    <mergeCell ref="B68:B69"/>
    <mergeCell ref="C68:C69"/>
    <mergeCell ref="D68:D69"/>
    <mergeCell ref="N60:N61"/>
    <mergeCell ref="O60:O61"/>
    <mergeCell ref="P60:P61"/>
    <mergeCell ref="Q60:Q61"/>
    <mergeCell ref="R60:R61"/>
    <mergeCell ref="E65:E66"/>
    <mergeCell ref="F65:F66"/>
    <mergeCell ref="G65:G66"/>
    <mergeCell ref="H65:H66"/>
    <mergeCell ref="I65:I66"/>
    <mergeCell ref="A65:A66"/>
    <mergeCell ref="B65:B66"/>
    <mergeCell ref="C65:C66"/>
    <mergeCell ref="D65:D66"/>
    <mergeCell ref="O65:O66"/>
    <mergeCell ref="P65:P66"/>
    <mergeCell ref="Q65:Q66"/>
    <mergeCell ref="R65:R66"/>
    <mergeCell ref="J68:J69"/>
    <mergeCell ref="K68:K69"/>
    <mergeCell ref="P57:P58"/>
    <mergeCell ref="Q57:Q58"/>
    <mergeCell ref="R57:R58"/>
    <mergeCell ref="A60:A61"/>
    <mergeCell ref="B60:B61"/>
    <mergeCell ref="C60:C61"/>
    <mergeCell ref="D60:D61"/>
    <mergeCell ref="E60:E61"/>
    <mergeCell ref="F60:F61"/>
    <mergeCell ref="G60:G61"/>
    <mergeCell ref="H60:H61"/>
    <mergeCell ref="I60:I61"/>
    <mergeCell ref="J60:J61"/>
    <mergeCell ref="K60:K61"/>
    <mergeCell ref="L60:L61"/>
    <mergeCell ref="M60:M61"/>
    <mergeCell ref="K57:K58"/>
    <mergeCell ref="L57:L58"/>
    <mergeCell ref="M57:M58"/>
    <mergeCell ref="N57:N58"/>
    <mergeCell ref="O57:O58"/>
    <mergeCell ref="F57:F58"/>
    <mergeCell ref="G57:G58"/>
    <mergeCell ref="H57:H58"/>
    <mergeCell ref="I57:I58"/>
    <mergeCell ref="J57:J58"/>
    <mergeCell ref="A57:A58"/>
    <mergeCell ref="B57:B58"/>
    <mergeCell ref="C57:C58"/>
    <mergeCell ref="D57:D58"/>
    <mergeCell ref="E57:E58"/>
    <mergeCell ref="E23:E24"/>
    <mergeCell ref="H23:H24"/>
    <mergeCell ref="J23:J24"/>
    <mergeCell ref="A35:A36"/>
    <mergeCell ref="B35:B36"/>
    <mergeCell ref="C35:C36"/>
    <mergeCell ref="D35:D36"/>
    <mergeCell ref="G48:G52"/>
    <mergeCell ref="H48:H52"/>
    <mergeCell ref="I33:I34"/>
    <mergeCell ref="A45:A46"/>
    <mergeCell ref="B45:B46"/>
    <mergeCell ref="C45:C46"/>
    <mergeCell ref="D45:D46"/>
    <mergeCell ref="F45:F46"/>
    <mergeCell ref="G45:G46"/>
    <mergeCell ref="H45:H46"/>
    <mergeCell ref="N23:N24"/>
    <mergeCell ref="R35:R36"/>
    <mergeCell ref="E35:E36"/>
    <mergeCell ref="J35:J36"/>
    <mergeCell ref="E33:E34"/>
    <mergeCell ref="J33:J34"/>
    <mergeCell ref="M35:M36"/>
    <mergeCell ref="N35:N36"/>
    <mergeCell ref="O35:O36"/>
    <mergeCell ref="P35:P36"/>
    <mergeCell ref="Q35:Q36"/>
    <mergeCell ref="G35:G36"/>
    <mergeCell ref="H35:H36"/>
    <mergeCell ref="I35:I36"/>
    <mergeCell ref="K35:K36"/>
    <mergeCell ref="L35:L36"/>
    <mergeCell ref="F35:F36"/>
    <mergeCell ref="N33:N34"/>
    <mergeCell ref="O33:O34"/>
    <mergeCell ref="P33:P34"/>
    <mergeCell ref="Q33:Q34"/>
    <mergeCell ref="R33:R34"/>
    <mergeCell ref="H33:H34"/>
    <mergeCell ref="R48:R52"/>
    <mergeCell ref="O45:O46"/>
    <mergeCell ref="P45:P46"/>
    <mergeCell ref="Q45:Q46"/>
    <mergeCell ref="R45:R46"/>
    <mergeCell ref="M48:M52"/>
    <mergeCell ref="N48:N52"/>
    <mergeCell ref="O48:O52"/>
    <mergeCell ref="P48:P52"/>
    <mergeCell ref="Q48:Q52"/>
    <mergeCell ref="K48:K52"/>
    <mergeCell ref="L48:L52"/>
    <mergeCell ref="I48:I52"/>
    <mergeCell ref="J48:J52"/>
    <mergeCell ref="A48:A52"/>
    <mergeCell ref="B48:B52"/>
    <mergeCell ref="C48:C52"/>
    <mergeCell ref="D48:D52"/>
    <mergeCell ref="F48:F52"/>
    <mergeCell ref="I45:I46"/>
    <mergeCell ref="K45:K46"/>
    <mergeCell ref="L45:L46"/>
    <mergeCell ref="M45:M46"/>
    <mergeCell ref="N45:N46"/>
    <mergeCell ref="A33:A34"/>
    <mergeCell ref="F23:F24"/>
    <mergeCell ref="G23:G24"/>
    <mergeCell ref="I23:I24"/>
    <mergeCell ref="A23:A24"/>
    <mergeCell ref="B23:B24"/>
    <mergeCell ref="C23:C24"/>
    <mergeCell ref="D23:D24"/>
    <mergeCell ref="K33:K34"/>
    <mergeCell ref="L33:L34"/>
    <mergeCell ref="M33:M34"/>
    <mergeCell ref="B33:B34"/>
    <mergeCell ref="C33:C34"/>
    <mergeCell ref="D33:D34"/>
    <mergeCell ref="F33:F34"/>
    <mergeCell ref="G33:G34"/>
    <mergeCell ref="L23:L24"/>
    <mergeCell ref="K23:K24"/>
    <mergeCell ref="M23:M24"/>
    <mergeCell ref="O1:V1"/>
    <mergeCell ref="R3:V3"/>
    <mergeCell ref="A5:C5"/>
    <mergeCell ref="R5:V5"/>
    <mergeCell ref="A9:V9"/>
    <mergeCell ref="R6:V6"/>
    <mergeCell ref="A8:V8"/>
    <mergeCell ref="O11:R11"/>
    <mergeCell ref="S11:V11"/>
    <mergeCell ref="A10:V10"/>
    <mergeCell ref="A11:A12"/>
    <mergeCell ref="B11:B12"/>
    <mergeCell ref="A53:A54"/>
    <mergeCell ref="B53:B54"/>
    <mergeCell ref="C53:C54"/>
    <mergeCell ref="D53:D54"/>
    <mergeCell ref="E53:E54"/>
    <mergeCell ref="F53:F54"/>
    <mergeCell ref="G53:G54"/>
    <mergeCell ref="H53:H54"/>
    <mergeCell ref="I53:I54"/>
    <mergeCell ref="J53:J54"/>
    <mergeCell ref="K53:K54"/>
    <mergeCell ref="L53:L54"/>
    <mergeCell ref="M53:M54"/>
    <mergeCell ref="N53:N54"/>
    <mergeCell ref="O53:O54"/>
    <mergeCell ref="P53:P54"/>
    <mergeCell ref="Q53:Q54"/>
    <mergeCell ref="R53:R54"/>
    <mergeCell ref="Q139:Q141"/>
    <mergeCell ref="R139:R141"/>
    <mergeCell ref="A139:A141"/>
    <mergeCell ref="B139:B141"/>
    <mergeCell ref="C139:C141"/>
    <mergeCell ref="D139:D141"/>
    <mergeCell ref="E139:E141"/>
    <mergeCell ref="F139:F141"/>
    <mergeCell ref="G139:G141"/>
    <mergeCell ref="H139:H141"/>
    <mergeCell ref="I139:I141"/>
    <mergeCell ref="A132:A133"/>
    <mergeCell ref="B132:B133"/>
    <mergeCell ref="J142:J146"/>
    <mergeCell ref="K142:K146"/>
    <mergeCell ref="L142:L146"/>
    <mergeCell ref="M142:M146"/>
    <mergeCell ref="N142:N146"/>
    <mergeCell ref="O142:O146"/>
    <mergeCell ref="P142:P146"/>
    <mergeCell ref="J139:J141"/>
    <mergeCell ref="K139:K141"/>
    <mergeCell ref="L139:L141"/>
    <mergeCell ref="M139:M141"/>
    <mergeCell ref="N139:N141"/>
    <mergeCell ref="O139:O141"/>
    <mergeCell ref="P139:P141"/>
    <mergeCell ref="J132:J133"/>
    <mergeCell ref="K132:K133"/>
    <mergeCell ref="L132:L133"/>
    <mergeCell ref="M132:M133"/>
    <mergeCell ref="O132:O133"/>
    <mergeCell ref="P132:P133"/>
    <mergeCell ref="Q142:Q146"/>
    <mergeCell ref="R142:R146"/>
    <mergeCell ref="A142:A146"/>
    <mergeCell ref="B142:B146"/>
    <mergeCell ref="C142:C146"/>
    <mergeCell ref="D142:D146"/>
    <mergeCell ref="E142:E146"/>
    <mergeCell ref="F142:F146"/>
    <mergeCell ref="G142:G146"/>
    <mergeCell ref="H142:H146"/>
    <mergeCell ref="I142:I146"/>
    <mergeCell ref="A147:A152"/>
    <mergeCell ref="R147:R152"/>
    <mergeCell ref="N147:N152"/>
    <mergeCell ref="O147:O152"/>
    <mergeCell ref="P147:P152"/>
    <mergeCell ref="Q147:Q152"/>
    <mergeCell ref="C147:C152"/>
    <mergeCell ref="D147:D152"/>
    <mergeCell ref="E147:E152"/>
    <mergeCell ref="F147:F152"/>
    <mergeCell ref="G147:G152"/>
    <mergeCell ref="H147:H152"/>
    <mergeCell ref="I147:I152"/>
    <mergeCell ref="J147:J152"/>
    <mergeCell ref="K147:K152"/>
    <mergeCell ref="L147:L152"/>
    <mergeCell ref="M147:M152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B147:B152"/>
    <mergeCell ref="A161:V161"/>
    <mergeCell ref="R125:R126"/>
    <mergeCell ref="N129:N130"/>
    <mergeCell ref="V127:V128"/>
    <mergeCell ref="J113:J114"/>
    <mergeCell ref="K113:K114"/>
    <mergeCell ref="L113:L114"/>
    <mergeCell ref="M113:M114"/>
    <mergeCell ref="N113:N114"/>
    <mergeCell ref="J129:J130"/>
    <mergeCell ref="O129:O130"/>
    <mergeCell ref="P129:P130"/>
    <mergeCell ref="Q129:Q130"/>
    <mergeCell ref="R129:R130"/>
    <mergeCell ref="N125:N126"/>
    <mergeCell ref="O125:O126"/>
    <mergeCell ref="P125:P126"/>
    <mergeCell ref="Q125:Q126"/>
    <mergeCell ref="E125:E126"/>
    <mergeCell ref="F125:F126"/>
    <mergeCell ref="G125:G126"/>
    <mergeCell ref="H125:H126"/>
    <mergeCell ref="I125:I126"/>
    <mergeCell ref="A129:A130"/>
  </mergeCells>
  <phoneticPr fontId="0" type="noConversion"/>
  <printOptions horizontalCentered="1"/>
  <pageMargins left="0" right="0" top="0" bottom="0" header="0" footer="0"/>
  <pageSetup paperSize="9" scale="75" orientation="landscape" r:id="rId1"/>
  <headerFooter alignWithMargins="0"/>
  <rowBreaks count="4" manualBreakCount="4">
    <brk id="37" max="21" man="1"/>
    <brk id="74" max="21" man="1"/>
    <brk id="94" max="21" man="1"/>
    <brk id="126" max="2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ischenko</dc:creator>
  <cp:lastModifiedBy>Пользователь Windows</cp:lastModifiedBy>
  <cp:lastPrinted>2022-08-31T00:02:57Z</cp:lastPrinted>
  <dcterms:created xsi:type="dcterms:W3CDTF">2002-06-27T06:35:29Z</dcterms:created>
  <dcterms:modified xsi:type="dcterms:W3CDTF">2022-09-06T01:14:08Z</dcterms:modified>
</cp:coreProperties>
</file>